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teve\Dropbox\Sitio personal\stevenggoni.github.io\clases\data\"/>
    </mc:Choice>
  </mc:AlternateContent>
  <xr:revisionPtr revIDLastSave="0" documentId="13_ncr:1_{1255C883-39B5-440F-ACD0-7C66DFC950E8}" xr6:coauthVersionLast="47" xr6:coauthVersionMax="47" xr10:uidLastSave="{00000000-0000-0000-0000-000000000000}"/>
  <bookViews>
    <workbookView xWindow="-108" yWindow="-108" windowWidth="23256" windowHeight="13896" firstSheet="3" activeTab="5" xr2:uid="{212DB067-01D2-461B-B590-358867CFA2E8}"/>
  </bookViews>
  <sheets>
    <sheet name="Datos - Ejemplo 01" sheetId="2" r:id="rId1"/>
    <sheet name="Ejemplo 01 - Resuelto" sheetId="1" r:id="rId2"/>
    <sheet name="Ejemplo 01 - Resuelto Matricial" sheetId="8" r:id="rId3"/>
    <sheet name="Datos - Ejemplo 02" sheetId="3" r:id="rId4"/>
    <sheet name="Ejemplo 02 - Resuelto" sheetId="4" r:id="rId5"/>
    <sheet name="Datos - Ejemplo 03" sheetId="5" r:id="rId6"/>
    <sheet name="Datos - Ejemplo 04" sheetId="6" r:id="rId7"/>
    <sheet name="Datos - Ejemplo 05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7" i="8" l="1"/>
  <c r="N23" i="8"/>
  <c r="N24" i="8"/>
  <c r="N20" i="8" a="1"/>
  <c r="N20" i="8" s="1"/>
  <c r="K17" i="8" a="1"/>
  <c r="K17" i="8" s="1"/>
  <c r="N17" i="8" s="1" a="1"/>
  <c r="N17" i="8" s="1"/>
  <c r="E3" i="1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3" i="8"/>
  <c r="K3" i="8" s="1" a="1"/>
  <c r="K3" i="8" s="1"/>
  <c r="K7" i="8" s="1" a="1"/>
  <c r="K7" i="8" s="1"/>
  <c r="K10" i="8" s="1" a="1"/>
  <c r="K10" i="8" s="1"/>
  <c r="K13" i="8" s="1" a="1"/>
  <c r="K13" i="8" s="1"/>
  <c r="AB12" i="4"/>
  <c r="AC12" i="4"/>
  <c r="AA13" i="4"/>
  <c r="AA12" i="4"/>
  <c r="AC13" i="4"/>
  <c r="Z5" i="4"/>
  <c r="Z7" i="4"/>
  <c r="Z4" i="4"/>
  <c r="AA24" i="4"/>
  <c r="AA23" i="4"/>
  <c r="AA22" i="4"/>
  <c r="AB13" i="4"/>
  <c r="Z8" i="4"/>
  <c r="S3" i="1"/>
  <c r="Z3" i="4"/>
  <c r="W17" i="4"/>
  <c r="V4" i="4"/>
  <c r="V5" i="4"/>
  <c r="V6" i="4"/>
  <c r="V7" i="4"/>
  <c r="V8" i="4"/>
  <c r="V9" i="4"/>
  <c r="V10" i="4"/>
  <c r="W10" i="4" s="1"/>
  <c r="V11" i="4"/>
  <c r="W11" i="4" s="1"/>
  <c r="V12" i="4"/>
  <c r="W12" i="4" s="1"/>
  <c r="V13" i="4"/>
  <c r="W13" i="4" s="1"/>
  <c r="V14" i="4"/>
  <c r="W14" i="4" s="1"/>
  <c r="V15" i="4"/>
  <c r="W15" i="4" s="1"/>
  <c r="V16" i="4"/>
  <c r="W16" i="4" s="1"/>
  <c r="V3" i="4"/>
  <c r="W3" i="4"/>
  <c r="Z24" i="4"/>
  <c r="W9" i="4"/>
  <c r="W8" i="4"/>
  <c r="W7" i="4"/>
  <c r="W6" i="4"/>
  <c r="W5" i="4"/>
  <c r="W4" i="4"/>
  <c r="Q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3" i="4"/>
  <c r="P3" i="4" s="1"/>
  <c r="T3" i="4"/>
  <c r="T2" i="4"/>
  <c r="P4" i="4"/>
  <c r="K8" i="1"/>
  <c r="K7" i="1"/>
  <c r="K3" i="1"/>
  <c r="K2" i="1"/>
  <c r="AB24" i="4" l="1"/>
  <c r="AB23" i="4"/>
  <c r="Z26" i="4"/>
  <c r="AB22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P15" i="4"/>
  <c r="M4" i="4"/>
  <c r="N4" i="4"/>
  <c r="M5" i="4"/>
  <c r="N5" i="4"/>
  <c r="M6" i="4"/>
  <c r="N6" i="4"/>
  <c r="M7" i="4"/>
  <c r="N7" i="4"/>
  <c r="M8" i="4"/>
  <c r="N8" i="4"/>
  <c r="M9" i="4"/>
  <c r="N9" i="4"/>
  <c r="M10" i="4"/>
  <c r="N10" i="4"/>
  <c r="M11" i="4"/>
  <c r="N11" i="4"/>
  <c r="M12" i="4"/>
  <c r="N12" i="4"/>
  <c r="M13" i="4"/>
  <c r="N13" i="4"/>
  <c r="M14" i="4"/>
  <c r="N14" i="4"/>
  <c r="M15" i="4"/>
  <c r="N15" i="4"/>
  <c r="M16" i="4"/>
  <c r="N16" i="4"/>
  <c r="N3" i="4"/>
  <c r="M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3" i="4"/>
  <c r="H4" i="4"/>
  <c r="I4" i="4"/>
  <c r="H5" i="4"/>
  <c r="I5" i="4"/>
  <c r="H6" i="4"/>
  <c r="I6" i="4"/>
  <c r="H7" i="4"/>
  <c r="I7" i="4"/>
  <c r="H8" i="4"/>
  <c r="I8" i="4"/>
  <c r="H9" i="4"/>
  <c r="I9" i="4"/>
  <c r="H10" i="4"/>
  <c r="I10" i="4"/>
  <c r="H11" i="4"/>
  <c r="I11" i="4"/>
  <c r="H12" i="4"/>
  <c r="I12" i="4"/>
  <c r="H13" i="4"/>
  <c r="I13" i="4"/>
  <c r="H14" i="4"/>
  <c r="I14" i="4"/>
  <c r="H15" i="4"/>
  <c r="I15" i="4"/>
  <c r="H16" i="4"/>
  <c r="I16" i="4"/>
  <c r="I3" i="4"/>
  <c r="H3" i="4"/>
  <c r="S24" i="1"/>
  <c r="S4" i="1"/>
  <c r="T24" i="1" s="1"/>
  <c r="E17" i="1"/>
  <c r="F17" i="1" s="1"/>
  <c r="AC22" i="4" l="1"/>
  <c r="AD22" i="4" s="1"/>
  <c r="T5" i="4"/>
  <c r="P6" i="4"/>
  <c r="P11" i="4"/>
  <c r="P12" i="4"/>
  <c r="P7" i="4"/>
  <c r="P13" i="4"/>
  <c r="P8" i="4"/>
  <c r="P14" i="4"/>
  <c r="P9" i="4"/>
  <c r="P10" i="4"/>
  <c r="P5" i="4"/>
  <c r="P16" i="4"/>
  <c r="U24" i="1"/>
  <c r="E16" i="1"/>
  <c r="F16" i="1" s="1"/>
  <c r="E15" i="1"/>
  <c r="G15" i="1" s="1"/>
  <c r="E14" i="1"/>
  <c r="F14" i="1" s="1"/>
  <c r="E13" i="1"/>
  <c r="F13" i="1" s="1"/>
  <c r="E12" i="1"/>
  <c r="G12" i="1" s="1"/>
  <c r="E11" i="1"/>
  <c r="G11" i="1" s="1"/>
  <c r="E10" i="1"/>
  <c r="E9" i="1"/>
  <c r="E6" i="1"/>
  <c r="G6" i="1" s="1"/>
  <c r="E21" i="1"/>
  <c r="E5" i="1"/>
  <c r="E4" i="1"/>
  <c r="E19" i="1"/>
  <c r="E8" i="1"/>
  <c r="E7" i="1"/>
  <c r="E22" i="1"/>
  <c r="F22" i="1" s="1"/>
  <c r="E20" i="1"/>
  <c r="E18" i="1"/>
  <c r="F12" i="1"/>
  <c r="G17" i="1"/>
  <c r="G13" i="1"/>
  <c r="T4" i="4" l="1"/>
  <c r="T7" i="4" s="1"/>
  <c r="T8" i="4" s="1"/>
  <c r="G14" i="1"/>
  <c r="G16" i="1"/>
  <c r="F11" i="1"/>
  <c r="F15" i="1"/>
  <c r="G22" i="1"/>
  <c r="G9" i="1"/>
  <c r="F9" i="1"/>
  <c r="G10" i="1"/>
  <c r="F10" i="1"/>
  <c r="G18" i="1"/>
  <c r="F18" i="1"/>
  <c r="G20" i="1"/>
  <c r="F20" i="1"/>
  <c r="G7" i="1"/>
  <c r="F7" i="1"/>
  <c r="G3" i="1"/>
  <c r="F3" i="1"/>
  <c r="G8" i="1"/>
  <c r="F8" i="1"/>
  <c r="G19" i="1"/>
  <c r="F19" i="1"/>
  <c r="F6" i="1"/>
  <c r="G4" i="1"/>
  <c r="F4" i="1"/>
  <c r="G5" i="1"/>
  <c r="F5" i="1"/>
  <c r="G21" i="1"/>
  <c r="F21" i="1"/>
  <c r="K4" i="1" l="1"/>
  <c r="K5" i="1"/>
  <c r="T22" i="1" l="1"/>
  <c r="S26" i="1" s="1"/>
  <c r="T13" i="1"/>
  <c r="O18" i="1"/>
  <c r="P18" i="1" s="1"/>
  <c r="O14" i="1"/>
  <c r="P14" i="1" s="1"/>
  <c r="O8" i="1"/>
  <c r="P8" i="1" s="1"/>
  <c r="O7" i="1"/>
  <c r="P7" i="1" s="1"/>
  <c r="O6" i="1"/>
  <c r="P6" i="1" s="1"/>
  <c r="O5" i="1"/>
  <c r="P5" i="1" s="1"/>
  <c r="O4" i="1"/>
  <c r="P4" i="1" s="1"/>
  <c r="O20" i="1"/>
  <c r="P20" i="1" s="1"/>
  <c r="O3" i="1"/>
  <c r="P3" i="1" s="1"/>
  <c r="O16" i="1"/>
  <c r="P16" i="1" s="1"/>
  <c r="O22" i="1"/>
  <c r="P22" i="1" s="1"/>
  <c r="O11" i="1"/>
  <c r="P11" i="1" s="1"/>
  <c r="O21" i="1"/>
  <c r="P21" i="1" s="1"/>
  <c r="O10" i="1"/>
  <c r="P10" i="1" s="1"/>
  <c r="O19" i="1"/>
  <c r="P19" i="1" s="1"/>
  <c r="O13" i="1"/>
  <c r="P13" i="1" s="1"/>
  <c r="O12" i="1"/>
  <c r="P12" i="1" s="1"/>
  <c r="O9" i="1"/>
  <c r="P9" i="1" s="1"/>
  <c r="O17" i="1"/>
  <c r="P17" i="1" s="1"/>
  <c r="U22" i="1" l="1"/>
  <c r="T23" i="1"/>
  <c r="U23" i="1" s="1"/>
  <c r="V22" i="1" s="1"/>
  <c r="W22" i="1" s="1"/>
  <c r="O15" i="1"/>
  <c r="P15" i="1" s="1"/>
  <c r="S5" i="1" s="1"/>
  <c r="T12" i="1"/>
  <c r="P23" i="1"/>
  <c r="S7" i="1" l="1"/>
  <c r="U12" i="1" s="1"/>
  <c r="T17" i="1" s="1"/>
  <c r="S8" i="1"/>
  <c r="U13" i="1" s="1"/>
  <c r="V12" i="1" l="1"/>
  <c r="W12" i="1" s="1"/>
  <c r="S17" i="1"/>
  <c r="V13" i="1"/>
  <c r="W13" i="1" s="1"/>
  <c r="T18" i="1"/>
  <c r="S18" i="1"/>
  <c r="AA18" i="4" l="1"/>
  <c r="AD13" i="4"/>
  <c r="Z18" i="4"/>
  <c r="AA17" i="4" l="1"/>
  <c r="Z17" i="4"/>
  <c r="AD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<sst xmlns="http://schemas.openxmlformats.org/spreadsheetml/2006/main" count="206" uniqueCount="69">
  <si>
    <t>Observación</t>
  </si>
  <si>
    <t>Sxx</t>
  </si>
  <si>
    <t>Sxy</t>
  </si>
  <si>
    <t>Resistencia (y)</t>
  </si>
  <si>
    <t>Edad (x)</t>
  </si>
  <si>
    <t>x_prom</t>
  </si>
  <si>
    <t>x-x_prom</t>
  </si>
  <si>
    <t>(x-x_prom)^2</t>
  </si>
  <si>
    <t>y(x-x_prom)</t>
  </si>
  <si>
    <t>B1</t>
  </si>
  <si>
    <t>B0</t>
  </si>
  <si>
    <t>y_prom</t>
  </si>
  <si>
    <t>y_estimada</t>
  </si>
  <si>
    <t>error</t>
  </si>
  <si>
    <t>Suma</t>
  </si>
  <si>
    <t>SS_res</t>
  </si>
  <si>
    <t>SS_t</t>
  </si>
  <si>
    <t>MS_res</t>
  </si>
  <si>
    <t>EE</t>
  </si>
  <si>
    <t>EE(B1)</t>
  </si>
  <si>
    <t>EE(B0)</t>
  </si>
  <si>
    <t>Término</t>
  </si>
  <si>
    <t>Coeficiente</t>
  </si>
  <si>
    <t>Valor t</t>
  </si>
  <si>
    <t>Valor p</t>
  </si>
  <si>
    <t xml:space="preserve">GL's </t>
  </si>
  <si>
    <t>Error</t>
  </si>
  <si>
    <t>Inferior</t>
  </si>
  <si>
    <t>Superior</t>
  </si>
  <si>
    <t>IC</t>
  </si>
  <si>
    <t>GL's</t>
  </si>
  <si>
    <t>SS</t>
  </si>
  <si>
    <t>MS</t>
  </si>
  <si>
    <t>F</t>
  </si>
  <si>
    <t>Valor P</t>
  </si>
  <si>
    <t>Regresión</t>
  </si>
  <si>
    <t>Residuos</t>
  </si>
  <si>
    <t>Total</t>
  </si>
  <si>
    <t>R^2</t>
  </si>
  <si>
    <t>ANOVA</t>
  </si>
  <si>
    <t>Tela (x)</t>
  </si>
  <si>
    <t>A</t>
  </si>
  <si>
    <t>B</t>
  </si>
  <si>
    <t>Codificación</t>
  </si>
  <si>
    <t>Tela A</t>
  </si>
  <si>
    <t>Tela B</t>
  </si>
  <si>
    <t>Tela B (x)</t>
  </si>
  <si>
    <t>Templado</t>
  </si>
  <si>
    <t>Grosor</t>
  </si>
  <si>
    <t>Resistencia</t>
  </si>
  <si>
    <t>Rápido</t>
  </si>
  <si>
    <t>Lento</t>
  </si>
  <si>
    <t>Dieta</t>
  </si>
  <si>
    <t>Peso</t>
  </si>
  <si>
    <t>C</t>
  </si>
  <si>
    <t>Resistencia(y)</t>
  </si>
  <si>
    <t>Edad(x)</t>
  </si>
  <si>
    <t>XtX</t>
  </si>
  <si>
    <t>(XtX)^-1</t>
  </si>
  <si>
    <t>(XtX)^-1 Xt</t>
  </si>
  <si>
    <t>(XtX)^-1 Xt *y</t>
  </si>
  <si>
    <t>Matriz X</t>
  </si>
  <si>
    <t>EE^2</t>
  </si>
  <si>
    <t>s^2</t>
  </si>
  <si>
    <t>s</t>
  </si>
  <si>
    <t>Tela(x)</t>
  </si>
  <si>
    <t>y</t>
  </si>
  <si>
    <t>x1</t>
  </si>
  <si>
    <t>x2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</si>
</sst>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000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Myriad Pro"/>
      <family val="2"/>
    </font>
    <font>
      <b/>
      <sz val="11"/>
      <color theme="1"/>
      <name val="Myriad Pro"/>
      <family val="2"/>
    </font>
    <font>
      <sz val="12"/>
      <color theme="1"/>
      <name val="Myriad Pro"/>
      <family val="2"/>
    </font>
    <font>
      <b/>
      <sz val="12"/>
      <color theme="1"/>
      <name val="Myriad Pro"/>
      <family val="2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2" fillId="0" borderId="1" xfId="0" applyFont="1" applyBorder="1"/>
    <xf numFmtId="2" fontId="2" fillId="0" borderId="1" xfId="0" applyNumberFormat="1" applyFont="1" applyBorder="1"/>
    <xf numFmtId="2" fontId="2" fillId="0" borderId="0" xfId="0" applyNumberFormat="1" applyFont="1"/>
    <xf numFmtId="0" fontId="3" fillId="0" borderId="1" xfId="0" applyFont="1" applyBorder="1"/>
    <xf numFmtId="164" fontId="2" fillId="0" borderId="1" xfId="0" applyNumberFormat="1" applyFont="1" applyBorder="1"/>
    <xf numFmtId="165" fontId="2" fillId="0" borderId="1" xfId="0" applyNumberFormat="1" applyFont="1" applyBorder="1"/>
    <xf numFmtId="0" fontId="3" fillId="2" borderId="1" xfId="0" applyFont="1" applyFill="1" applyBorder="1"/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/>
    <xf numFmtId="10" fontId="2" fillId="0" borderId="1" xfId="1" applyNumberFormat="1" applyFont="1" applyBorder="1"/>
    <xf numFmtId="0" fontId="4" fillId="0" borderId="0" xfId="0" applyFont="1"/>
    <xf numFmtId="0" fontId="4" fillId="0" borderId="1" xfId="0" applyFont="1" applyBorder="1"/>
    <xf numFmtId="0" fontId="5" fillId="0" borderId="1" xfId="0" applyFont="1" applyBorder="1"/>
    <xf numFmtId="0" fontId="5" fillId="0" borderId="0" xfId="0" applyFont="1"/>
    <xf numFmtId="2" fontId="4" fillId="0" borderId="1" xfId="0" applyNumberFormat="1" applyFont="1" applyBorder="1"/>
    <xf numFmtId="0" fontId="4" fillId="0" borderId="1" xfId="0" quotePrefix="1" applyFont="1" applyBorder="1"/>
    <xf numFmtId="166" fontId="2" fillId="0" borderId="1" xfId="0" applyNumberFormat="1" applyFont="1" applyBorder="1"/>
    <xf numFmtId="0" fontId="0" fillId="0" borderId="1" xfId="0" applyBorder="1"/>
    <xf numFmtId="167" fontId="0" fillId="0" borderId="1" xfId="0" applyNumberFormat="1" applyBorder="1"/>
    <xf numFmtId="2" fontId="0" fillId="0" borderId="1" xfId="0" applyNumberFormat="1" applyBorder="1"/>
    <xf numFmtId="164" fontId="0" fillId="0" borderId="1" xfId="0" applyNumberFormat="1" applyBorder="1"/>
    <xf numFmtId="167" fontId="0" fillId="0" borderId="0" xfId="0" applyNumberFormat="1"/>
    <xf numFmtId="0" fontId="3" fillId="0" borderId="0" xfId="0" applyFont="1"/>
    <xf numFmtId="2" fontId="0" fillId="0" borderId="0" xfId="0" applyNumberFormat="1"/>
    <xf numFmtId="0" fontId="6" fillId="0" borderId="0" xfId="0" applyFont="1"/>
    <xf numFmtId="0" fontId="6" fillId="0" borderId="1" xfId="0" applyFont="1" applyBorder="1"/>
    <xf numFmtId="0" fontId="6" fillId="0" borderId="2" xfId="0" applyFont="1" applyBorder="1"/>
    <xf numFmtId="0" fontId="0" fillId="0" borderId="2" xfId="0" applyBorder="1"/>
    <xf numFmtId="0" fontId="0" fillId="3" borderId="1" xfId="0" applyFill="1" applyBorder="1"/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 textRotation="25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9.2926071741032373E-2"/>
                  <c:y val="-0.481429717118693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Myriad Pro" panose="020B0503030403020204" pitchFamily="34" charset="0"/>
                      <a:ea typeface="+mn-ea"/>
                      <a:cs typeface="Myanmar Text" panose="020B0502040204020203" pitchFamily="34" charset="0"/>
                    </a:defRPr>
                  </a:pPr>
                  <a:endParaRPr lang="es-CR"/>
                </a:p>
              </c:txPr>
            </c:trendlineLbl>
          </c:trendline>
          <c:xVal>
            <c:numRef>
              <c:f>'Ejemplo 01 - Resuelto'!$D$3:$D$22</c:f>
              <c:numCache>
                <c:formatCode>0.00</c:formatCode>
                <c:ptCount val="20"/>
                <c:pt idx="0">
                  <c:v>15.5</c:v>
                </c:pt>
                <c:pt idx="1">
                  <c:v>23.75</c:v>
                </c:pt>
                <c:pt idx="2">
                  <c:v>8</c:v>
                </c:pt>
                <c:pt idx="3">
                  <c:v>17</c:v>
                </c:pt>
                <c:pt idx="4">
                  <c:v>5.5</c:v>
                </c:pt>
                <c:pt idx="5">
                  <c:v>19</c:v>
                </c:pt>
                <c:pt idx="6">
                  <c:v>24</c:v>
                </c:pt>
                <c:pt idx="7">
                  <c:v>2.5</c:v>
                </c:pt>
                <c:pt idx="8">
                  <c:v>7.5</c:v>
                </c:pt>
                <c:pt idx="9">
                  <c:v>11</c:v>
                </c:pt>
                <c:pt idx="10">
                  <c:v>13</c:v>
                </c:pt>
                <c:pt idx="11">
                  <c:v>3.75</c:v>
                </c:pt>
                <c:pt idx="12">
                  <c:v>25</c:v>
                </c:pt>
                <c:pt idx="13">
                  <c:v>9.75</c:v>
                </c:pt>
                <c:pt idx="14">
                  <c:v>22</c:v>
                </c:pt>
                <c:pt idx="15">
                  <c:v>18</c:v>
                </c:pt>
                <c:pt idx="16">
                  <c:v>6</c:v>
                </c:pt>
                <c:pt idx="17">
                  <c:v>12.5</c:v>
                </c:pt>
                <c:pt idx="18">
                  <c:v>2</c:v>
                </c:pt>
                <c:pt idx="19">
                  <c:v>21.5</c:v>
                </c:pt>
              </c:numCache>
            </c:numRef>
          </c:xVal>
          <c:yVal>
            <c:numRef>
              <c:f>'Ejemplo 01 - Resuelto'!$C$3:$C$22</c:f>
              <c:numCache>
                <c:formatCode>0.00</c:formatCode>
                <c:ptCount val="20"/>
                <c:pt idx="0">
                  <c:v>2158.6999999999998</c:v>
                </c:pt>
                <c:pt idx="1">
                  <c:v>1678.15</c:v>
                </c:pt>
                <c:pt idx="2">
                  <c:v>2316</c:v>
                </c:pt>
                <c:pt idx="3">
                  <c:v>2061.3000000000002</c:v>
                </c:pt>
                <c:pt idx="4">
                  <c:v>2207.5</c:v>
                </c:pt>
                <c:pt idx="5">
                  <c:v>1708.3</c:v>
                </c:pt>
                <c:pt idx="6">
                  <c:v>1784.7</c:v>
                </c:pt>
                <c:pt idx="7">
                  <c:v>2575</c:v>
                </c:pt>
                <c:pt idx="8">
                  <c:v>2357.9</c:v>
                </c:pt>
                <c:pt idx="9">
                  <c:v>2256.6999999999998</c:v>
                </c:pt>
                <c:pt idx="10">
                  <c:v>2165.1999999999998</c:v>
                </c:pt>
                <c:pt idx="11">
                  <c:v>2399.5500000000002</c:v>
                </c:pt>
                <c:pt idx="12">
                  <c:v>1779.8</c:v>
                </c:pt>
                <c:pt idx="13">
                  <c:v>2336.75</c:v>
                </c:pt>
                <c:pt idx="14">
                  <c:v>1765.3</c:v>
                </c:pt>
                <c:pt idx="15">
                  <c:v>2053.5</c:v>
                </c:pt>
                <c:pt idx="16">
                  <c:v>2414.4</c:v>
                </c:pt>
                <c:pt idx="17">
                  <c:v>2200.5</c:v>
                </c:pt>
                <c:pt idx="18">
                  <c:v>2654.2</c:v>
                </c:pt>
                <c:pt idx="19">
                  <c:v>1753.7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E3-49E2-B4C7-2F4A88020C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676832"/>
        <c:axId val="1344678272"/>
      </c:scatterChart>
      <c:valAx>
        <c:axId val="1344676832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yriad Pro" panose="020B0503030403020204" pitchFamily="34" charset="0"/>
                <a:ea typeface="+mn-ea"/>
                <a:cs typeface="Myanmar Text" panose="020B0502040204020203" pitchFamily="34" charset="0"/>
              </a:defRPr>
            </a:pPr>
            <a:endParaRPr lang="es-CR"/>
          </a:p>
        </c:txPr>
        <c:crossAx val="1344678272"/>
        <c:crosses val="autoZero"/>
        <c:crossBetween val="midCat"/>
      </c:valAx>
      <c:valAx>
        <c:axId val="1344678272"/>
        <c:scaling>
          <c:orientation val="minMax"/>
          <c:min val="1500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yriad Pro" panose="020B0503030403020204" pitchFamily="34" charset="0"/>
                <a:ea typeface="+mn-ea"/>
                <a:cs typeface="Myanmar Text" panose="020B0502040204020203" pitchFamily="34" charset="0"/>
              </a:defRPr>
            </a:pPr>
            <a:endParaRPr lang="es-CR"/>
          </a:p>
        </c:txPr>
        <c:crossAx val="1344676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yriad Pro" panose="020B0503030403020204" pitchFamily="34" charset="0"/>
          <a:cs typeface="Myanmar Text" panose="020B0502040204020203" pitchFamily="34" charset="0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'Ejemplo 02 - Resuelto'!$N$2</c:f>
              <c:strCache>
                <c:ptCount val="1"/>
                <c:pt idx="0">
                  <c:v>Resistencia (y)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2.2130070960114167E-2"/>
                  <c:y val="-0.3496311395313581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</c:trendlineLbl>
          </c:trendline>
          <c:xVal>
            <c:numRef>
              <c:f>'Ejemplo 02 - Resuelto'!$M$3:$M$16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xVal>
          <c:yVal>
            <c:numRef>
              <c:f>'Ejemplo 02 - Resuelto'!$N$3:$N$16</c:f>
              <c:numCache>
                <c:formatCode>General</c:formatCode>
                <c:ptCount val="14"/>
                <c:pt idx="0">
                  <c:v>8</c:v>
                </c:pt>
                <c:pt idx="1">
                  <c:v>9</c:v>
                </c:pt>
                <c:pt idx="2">
                  <c:v>7</c:v>
                </c:pt>
                <c:pt idx="3">
                  <c:v>10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5</c:v>
                </c:pt>
                <c:pt idx="8">
                  <c:v>6</c:v>
                </c:pt>
                <c:pt idx="9">
                  <c:v>5</c:v>
                </c:pt>
                <c:pt idx="10">
                  <c:v>4</c:v>
                </c:pt>
                <c:pt idx="11">
                  <c:v>6</c:v>
                </c:pt>
                <c:pt idx="12">
                  <c:v>5</c:v>
                </c:pt>
                <c:pt idx="13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88-4DAD-815E-6683E359E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7084080"/>
        <c:axId val="1427086000"/>
      </c:scatterChart>
      <c:valAx>
        <c:axId val="1427084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27086000"/>
        <c:crosses val="autoZero"/>
        <c:crossBetween val="midCat"/>
      </c:valAx>
      <c:valAx>
        <c:axId val="142708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27084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124265</xdr:colOff>
      <xdr:row>8</xdr:row>
      <xdr:rowOff>119283</xdr:rowOff>
    </xdr:from>
    <xdr:to>
      <xdr:col>13</xdr:col>
      <xdr:colOff>353891</xdr:colOff>
      <xdr:row>24</xdr:row>
      <xdr:rowOff>58469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A25849-C232-3671-8BBF-24138D5FDD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541020</xdr:colOff>
      <xdr:row>17</xdr:row>
      <xdr:rowOff>38100</xdr:rowOff>
    </xdr:from>
    <xdr:to>
      <xdr:col>9</xdr:col>
      <xdr:colOff>1005840</xdr:colOff>
      <xdr:row>21</xdr:row>
      <xdr:rowOff>129540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36494980-1C2F-49AB-CCDA-8DA37F046BBE}"/>
            </a:ext>
          </a:extLst>
        </xdr:cNvPr>
        <xdr:cNvSpPr/>
      </xdr:nvSpPr>
      <xdr:spPr>
        <a:xfrm>
          <a:off x="3870960" y="3406140"/>
          <a:ext cx="2057400" cy="88392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R" sz="1400">
              <a:latin typeface="Myriad Pro" panose="020B0503030403020204" pitchFamily="34" charset="0"/>
            </a:rPr>
            <a:t>Se selecciona a A como categoría de referencia</a:t>
          </a:r>
        </a:p>
      </xdr:txBody>
    </xdr:sp>
    <xdr:clientData/>
  </xdr:twoCellAnchor>
  <xdr:twoCellAnchor>
    <xdr:from>
      <xdr:col>10</xdr:col>
      <xdr:colOff>210723</xdr:colOff>
      <xdr:row>16</xdr:row>
      <xdr:rowOff>134229</xdr:rowOff>
    </xdr:from>
    <xdr:to>
      <xdr:col>17</xdr:col>
      <xdr:colOff>300551</xdr:colOff>
      <xdr:row>30</xdr:row>
      <xdr:rowOff>102137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5F3AF1-CEC7-EE7D-98D7-67DACF4F3C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E0950-77B7-42A7-8828-573A92916B8B}">
  <dimension ref="B2:D22"/>
  <sheetViews>
    <sheetView zoomScale="130" zoomScaleNormal="130" workbookViewId="0">
      <selection activeCell="J5" sqref="J5"/>
    </sheetView>
  </sheetViews>
  <sheetFormatPr defaultRowHeight="14.4" x14ac:dyDescent="0.3"/>
  <cols>
    <col min="2" max="2" width="12.44140625" bestFit="1" customWidth="1"/>
    <col min="3" max="3" width="14.21875" bestFit="1" customWidth="1"/>
    <col min="4" max="4" width="8.44140625" bestFit="1" customWidth="1"/>
  </cols>
  <sheetData>
    <row r="2" spans="2:4" x14ac:dyDescent="0.3">
      <c r="B2" s="5" t="s">
        <v>0</v>
      </c>
      <c r="C2" s="5" t="s">
        <v>55</v>
      </c>
      <c r="D2" s="5" t="s">
        <v>56</v>
      </c>
    </row>
    <row r="3" spans="2:4" x14ac:dyDescent="0.3">
      <c r="B3" s="2">
        <v>1</v>
      </c>
      <c r="C3" s="3">
        <v>2158.6999999999998</v>
      </c>
      <c r="D3" s="3">
        <v>15.5</v>
      </c>
    </row>
    <row r="4" spans="2:4" x14ac:dyDescent="0.3">
      <c r="B4" s="2">
        <v>2</v>
      </c>
      <c r="C4" s="3">
        <v>1678.15</v>
      </c>
      <c r="D4" s="3">
        <v>23.75</v>
      </c>
    </row>
    <row r="5" spans="2:4" x14ac:dyDescent="0.3">
      <c r="B5" s="2">
        <v>3</v>
      </c>
      <c r="C5" s="3">
        <v>2316</v>
      </c>
      <c r="D5" s="3">
        <v>8</v>
      </c>
    </row>
    <row r="6" spans="2:4" x14ac:dyDescent="0.3">
      <c r="B6" s="2">
        <v>4</v>
      </c>
      <c r="C6" s="3">
        <v>2061.3000000000002</v>
      </c>
      <c r="D6" s="3">
        <v>17</v>
      </c>
    </row>
    <row r="7" spans="2:4" x14ac:dyDescent="0.3">
      <c r="B7" s="2">
        <v>5</v>
      </c>
      <c r="C7" s="3">
        <v>2207.5</v>
      </c>
      <c r="D7" s="3">
        <v>5.5</v>
      </c>
    </row>
    <row r="8" spans="2:4" x14ac:dyDescent="0.3">
      <c r="B8" s="2">
        <v>6</v>
      </c>
      <c r="C8" s="3">
        <v>1708.3</v>
      </c>
      <c r="D8" s="3">
        <v>19</v>
      </c>
    </row>
    <row r="9" spans="2:4" x14ac:dyDescent="0.3">
      <c r="B9" s="2">
        <v>7</v>
      </c>
      <c r="C9" s="3">
        <v>1784.7</v>
      </c>
      <c r="D9" s="3">
        <v>24</v>
      </c>
    </row>
    <row r="10" spans="2:4" x14ac:dyDescent="0.3">
      <c r="B10" s="2">
        <v>8</v>
      </c>
      <c r="C10" s="3">
        <v>2575</v>
      </c>
      <c r="D10" s="3">
        <v>2.5</v>
      </c>
    </row>
    <row r="11" spans="2:4" x14ac:dyDescent="0.3">
      <c r="B11" s="2">
        <v>9</v>
      </c>
      <c r="C11" s="3">
        <v>2357.9</v>
      </c>
      <c r="D11" s="3">
        <v>7.5</v>
      </c>
    </row>
    <row r="12" spans="2:4" x14ac:dyDescent="0.3">
      <c r="B12" s="2">
        <v>10</v>
      </c>
      <c r="C12" s="3">
        <v>2256.6999999999998</v>
      </c>
      <c r="D12" s="3">
        <v>11</v>
      </c>
    </row>
    <row r="13" spans="2:4" x14ac:dyDescent="0.3">
      <c r="B13" s="2">
        <v>11</v>
      </c>
      <c r="C13" s="3">
        <v>2165.1999999999998</v>
      </c>
      <c r="D13" s="3">
        <v>13</v>
      </c>
    </row>
    <row r="14" spans="2:4" x14ac:dyDescent="0.3">
      <c r="B14" s="2">
        <v>12</v>
      </c>
      <c r="C14" s="3">
        <v>2399.5500000000002</v>
      </c>
      <c r="D14" s="3">
        <v>3.75</v>
      </c>
    </row>
    <row r="15" spans="2:4" x14ac:dyDescent="0.3">
      <c r="B15" s="2">
        <v>13</v>
      </c>
      <c r="C15" s="3">
        <v>1779.8</v>
      </c>
      <c r="D15" s="3">
        <v>25</v>
      </c>
    </row>
    <row r="16" spans="2:4" x14ac:dyDescent="0.3">
      <c r="B16" s="2">
        <v>14</v>
      </c>
      <c r="C16" s="3">
        <v>2336.75</v>
      </c>
      <c r="D16" s="3">
        <v>9.75</v>
      </c>
    </row>
    <row r="17" spans="2:4" x14ac:dyDescent="0.3">
      <c r="B17" s="2">
        <v>15</v>
      </c>
      <c r="C17" s="3">
        <v>1765.3</v>
      </c>
      <c r="D17" s="3">
        <v>22</v>
      </c>
    </row>
    <row r="18" spans="2:4" x14ac:dyDescent="0.3">
      <c r="B18" s="2">
        <v>16</v>
      </c>
      <c r="C18" s="3">
        <v>2053.5</v>
      </c>
      <c r="D18" s="3">
        <v>18</v>
      </c>
    </row>
    <row r="19" spans="2:4" x14ac:dyDescent="0.3">
      <c r="B19" s="2">
        <v>17</v>
      </c>
      <c r="C19" s="3">
        <v>2414.4</v>
      </c>
      <c r="D19" s="3">
        <v>6</v>
      </c>
    </row>
    <row r="20" spans="2:4" x14ac:dyDescent="0.3">
      <c r="B20" s="2">
        <v>18</v>
      </c>
      <c r="C20" s="3">
        <v>2200.5</v>
      </c>
      <c r="D20" s="3">
        <v>12.5</v>
      </c>
    </row>
    <row r="21" spans="2:4" x14ac:dyDescent="0.3">
      <c r="B21" s="2">
        <v>19</v>
      </c>
      <c r="C21" s="3">
        <v>2654.2</v>
      </c>
      <c r="D21" s="3">
        <v>2</v>
      </c>
    </row>
    <row r="22" spans="2:4" x14ac:dyDescent="0.3">
      <c r="B22" s="2">
        <v>20</v>
      </c>
      <c r="C22" s="3">
        <v>1753.7</v>
      </c>
      <c r="D22" s="3">
        <v>21.5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FDC3C-6F10-4D52-8135-C7D77A952D36}">
  <dimension ref="B2:W26"/>
  <sheetViews>
    <sheetView topLeftCell="E1" zoomScale="130" zoomScaleNormal="130" workbookViewId="0">
      <selection activeCell="P23" sqref="P23"/>
    </sheetView>
  </sheetViews>
  <sheetFormatPr defaultRowHeight="13.8" x14ac:dyDescent="0.25"/>
  <cols>
    <col min="1" max="1" width="2.44140625" style="1" customWidth="1"/>
    <col min="2" max="2" width="12.44140625" style="1" bestFit="1" customWidth="1"/>
    <col min="3" max="3" width="14.21875" style="1" bestFit="1" customWidth="1"/>
    <col min="4" max="4" width="8.44140625" style="1" bestFit="1" customWidth="1"/>
    <col min="5" max="5" width="9.5546875" style="1" bestFit="1" customWidth="1"/>
    <col min="6" max="6" width="13.33203125" style="1" bestFit="1" customWidth="1"/>
    <col min="7" max="7" width="11.88671875" style="1" bestFit="1" customWidth="1"/>
    <col min="8" max="9" width="8.88671875" style="1"/>
    <col min="10" max="10" width="7.88671875" style="1" bestFit="1" customWidth="1"/>
    <col min="11" max="11" width="9.5546875" style="1" bestFit="1" customWidth="1"/>
    <col min="12" max="12" width="12.109375" style="1" bestFit="1" customWidth="1"/>
    <col min="13" max="14" width="8.88671875" style="1"/>
    <col min="15" max="15" width="11.44140625" style="1" bestFit="1" customWidth="1"/>
    <col min="16" max="16" width="7.33203125" style="1" bestFit="1" customWidth="1"/>
    <col min="17" max="17" width="8.88671875" style="1"/>
    <col min="18" max="18" width="10.21875" style="1" bestFit="1" customWidth="1"/>
    <col min="19" max="19" width="11" style="1" bestFit="1" customWidth="1"/>
    <col min="20" max="20" width="11.33203125" style="1" bestFit="1" customWidth="1"/>
    <col min="21" max="21" width="11" style="1" bestFit="1" customWidth="1"/>
    <col min="22" max="22" width="7" style="1" bestFit="1" customWidth="1"/>
    <col min="23" max="23" width="7.44140625" style="1" bestFit="1" customWidth="1"/>
    <col min="24" max="16384" width="8.88671875" style="1"/>
  </cols>
  <sheetData>
    <row r="2" spans="2:23" x14ac:dyDescent="0.25">
      <c r="B2" s="5" t="s">
        <v>0</v>
      </c>
      <c r="C2" s="5" t="s">
        <v>3</v>
      </c>
      <c r="D2" s="5" t="s">
        <v>4</v>
      </c>
      <c r="E2" s="8" t="s">
        <v>6</v>
      </c>
      <c r="F2" s="8" t="s">
        <v>7</v>
      </c>
      <c r="G2" s="8" t="s">
        <v>8</v>
      </c>
      <c r="J2" s="5" t="s">
        <v>11</v>
      </c>
      <c r="K2" s="3">
        <f>+AVERAGE(C3:C22)</f>
        <v>2131.3575000000001</v>
      </c>
      <c r="O2" s="9" t="s">
        <v>12</v>
      </c>
      <c r="P2" s="9" t="s">
        <v>13</v>
      </c>
    </row>
    <row r="3" spans="2:23" x14ac:dyDescent="0.25">
      <c r="B3" s="2">
        <v>1</v>
      </c>
      <c r="C3" s="3">
        <v>2158.6999999999998</v>
      </c>
      <c r="D3" s="3">
        <v>15.5</v>
      </c>
      <c r="E3" s="3">
        <f>+D3-$K$3</f>
        <v>2.1374999999999993</v>
      </c>
      <c r="F3" s="7">
        <f>+E3^2</f>
        <v>4.5689062499999968</v>
      </c>
      <c r="G3" s="7">
        <f>+C3*E3</f>
        <v>4614.2212499999978</v>
      </c>
      <c r="J3" s="5" t="s">
        <v>5</v>
      </c>
      <c r="K3" s="3">
        <f>+AVERAGE(D3:D22)</f>
        <v>13.362500000000001</v>
      </c>
      <c r="O3" s="3">
        <f t="shared" ref="O3:O22" si="0">+$K$8+$K$7*D3</f>
        <v>2051.941699355265</v>
      </c>
      <c r="P3" s="3">
        <f t="shared" ref="P3:P22" si="1">+C3-O3</f>
        <v>106.75830064473485</v>
      </c>
      <c r="R3" s="5" t="s">
        <v>15</v>
      </c>
      <c r="S3" s="3">
        <f>+SUMSQ(P3:P22)</f>
        <v>166254.85806698122</v>
      </c>
    </row>
    <row r="4" spans="2:23" x14ac:dyDescent="0.25">
      <c r="B4" s="2">
        <v>2</v>
      </c>
      <c r="C4" s="3">
        <v>1678.15</v>
      </c>
      <c r="D4" s="3">
        <v>23.75</v>
      </c>
      <c r="E4" s="3">
        <f t="shared" ref="E4:E22" si="2">+D4-$K$3</f>
        <v>10.387499999999999</v>
      </c>
      <c r="F4" s="7">
        <f t="shared" ref="F4:F22" si="3">+E4^2</f>
        <v>107.90015624999998</v>
      </c>
      <c r="G4" s="7">
        <f t="shared" ref="G4:G22" si="4">+C4*E4</f>
        <v>17431.783124999998</v>
      </c>
      <c r="J4" s="5" t="s">
        <v>1</v>
      </c>
      <c r="K4" s="3">
        <f>+SUM(F3:F22)</f>
        <v>1106.5593749999998</v>
      </c>
      <c r="O4" s="3">
        <f t="shared" si="0"/>
        <v>1745.4245740597967</v>
      </c>
      <c r="P4" s="3">
        <f t="shared" si="1"/>
        <v>-67.274574059796578</v>
      </c>
      <c r="R4" s="5" t="s">
        <v>16</v>
      </c>
      <c r="S4" s="3">
        <f>+SUMSQ(C3:C22)-20*K2^2</f>
        <v>1693737.6013749987</v>
      </c>
    </row>
    <row r="5" spans="2:23" x14ac:dyDescent="0.25">
      <c r="B5" s="2">
        <v>3</v>
      </c>
      <c r="C5" s="3">
        <v>2316</v>
      </c>
      <c r="D5" s="3">
        <v>8</v>
      </c>
      <c r="E5" s="3">
        <f t="shared" si="2"/>
        <v>-5.3625000000000007</v>
      </c>
      <c r="F5" s="7">
        <f t="shared" si="3"/>
        <v>28.756406250000008</v>
      </c>
      <c r="G5" s="7">
        <f t="shared" si="4"/>
        <v>-12419.550000000001</v>
      </c>
      <c r="J5" s="5" t="s">
        <v>2</v>
      </c>
      <c r="K5" s="3">
        <f>+SUM(G3:G22)</f>
        <v>-41112.654375000027</v>
      </c>
      <c r="O5" s="3">
        <f t="shared" si="0"/>
        <v>2330.5936314420546</v>
      </c>
      <c r="P5" s="3">
        <f t="shared" si="1"/>
        <v>-14.59363144205463</v>
      </c>
      <c r="R5" s="5" t="s">
        <v>17</v>
      </c>
      <c r="S5" s="3">
        <f>+S3/(20-2)</f>
        <v>9236.3810037211788</v>
      </c>
    </row>
    <row r="6" spans="2:23" x14ac:dyDescent="0.25">
      <c r="B6" s="2">
        <v>4</v>
      </c>
      <c r="C6" s="3">
        <v>2061.3000000000002</v>
      </c>
      <c r="D6" s="3">
        <v>17</v>
      </c>
      <c r="E6" s="3">
        <f t="shared" si="2"/>
        <v>3.6374999999999993</v>
      </c>
      <c r="F6" s="7">
        <f t="shared" si="3"/>
        <v>13.231406249999996</v>
      </c>
      <c r="G6" s="7">
        <f t="shared" si="4"/>
        <v>7497.9787499999993</v>
      </c>
      <c r="K6" s="4"/>
      <c r="O6" s="3">
        <f t="shared" si="0"/>
        <v>1996.2113129379072</v>
      </c>
      <c r="P6" s="3">
        <f t="shared" si="1"/>
        <v>65.088687062092959</v>
      </c>
    </row>
    <row r="7" spans="2:23" x14ac:dyDescent="0.25">
      <c r="B7" s="2">
        <v>5</v>
      </c>
      <c r="C7" s="3">
        <v>2207.5</v>
      </c>
      <c r="D7" s="3">
        <v>5.5</v>
      </c>
      <c r="E7" s="3">
        <f t="shared" si="2"/>
        <v>-7.8625000000000007</v>
      </c>
      <c r="F7" s="7">
        <f t="shared" si="3"/>
        <v>61.818906250000012</v>
      </c>
      <c r="G7" s="7">
        <f t="shared" si="4"/>
        <v>-17356.46875</v>
      </c>
      <c r="J7" s="5" t="s">
        <v>9</v>
      </c>
      <c r="K7" s="3">
        <f>+K5/K4</f>
        <v>-37.153590944905268</v>
      </c>
      <c r="O7" s="3">
        <f t="shared" si="0"/>
        <v>2423.4776088043177</v>
      </c>
      <c r="P7" s="3">
        <f t="shared" si="1"/>
        <v>-215.9776088043177</v>
      </c>
      <c r="R7" s="5" t="s">
        <v>20</v>
      </c>
      <c r="S7" s="3">
        <f>+SQRT(S5*((1/20)+(POWER(K3,2)/K4)))</f>
        <v>44.183911798178634</v>
      </c>
    </row>
    <row r="8" spans="2:23" x14ac:dyDescent="0.25">
      <c r="B8" s="2">
        <v>6</v>
      </c>
      <c r="C8" s="3">
        <v>1708.3</v>
      </c>
      <c r="D8" s="3">
        <v>19</v>
      </c>
      <c r="E8" s="3">
        <f t="shared" si="2"/>
        <v>5.6374999999999993</v>
      </c>
      <c r="F8" s="7">
        <f t="shared" si="3"/>
        <v>31.781406249999993</v>
      </c>
      <c r="G8" s="7">
        <f t="shared" si="4"/>
        <v>9630.5412499999984</v>
      </c>
      <c r="J8" s="5" t="s">
        <v>10</v>
      </c>
      <c r="K8" s="3">
        <f>+K2-K7*K3</f>
        <v>2627.8223590012967</v>
      </c>
      <c r="O8" s="3">
        <f t="shared" si="0"/>
        <v>1921.9041310480966</v>
      </c>
      <c r="P8" s="3">
        <f t="shared" si="1"/>
        <v>-213.60413104809663</v>
      </c>
      <c r="R8" s="5" t="s">
        <v>19</v>
      </c>
      <c r="S8" s="3">
        <f>+SQRT(S5/K4)</f>
        <v>2.889106548921919</v>
      </c>
    </row>
    <row r="9" spans="2:23" x14ac:dyDescent="0.25">
      <c r="B9" s="2">
        <v>7</v>
      </c>
      <c r="C9" s="3">
        <v>1784.7</v>
      </c>
      <c r="D9" s="3">
        <v>24</v>
      </c>
      <c r="E9" s="3">
        <f t="shared" si="2"/>
        <v>10.637499999999999</v>
      </c>
      <c r="F9" s="7">
        <f t="shared" si="3"/>
        <v>113.15640624999999</v>
      </c>
      <c r="G9" s="7">
        <f t="shared" si="4"/>
        <v>18984.74625</v>
      </c>
      <c r="O9" s="3">
        <f t="shared" si="0"/>
        <v>1736.1361763235702</v>
      </c>
      <c r="P9" s="3">
        <f t="shared" si="1"/>
        <v>48.56382367642982</v>
      </c>
    </row>
    <row r="10" spans="2:23" x14ac:dyDescent="0.25">
      <c r="B10" s="2">
        <v>8</v>
      </c>
      <c r="C10" s="3">
        <v>2575</v>
      </c>
      <c r="D10" s="3">
        <v>2.5</v>
      </c>
      <c r="E10" s="3">
        <f t="shared" si="2"/>
        <v>-10.862500000000001</v>
      </c>
      <c r="F10" s="7">
        <f t="shared" si="3"/>
        <v>117.99390625000001</v>
      </c>
      <c r="G10" s="7">
        <f t="shared" si="4"/>
        <v>-27970.937500000004</v>
      </c>
      <c r="O10" s="3">
        <f t="shared" si="0"/>
        <v>2534.9383816390337</v>
      </c>
      <c r="P10" s="3">
        <f t="shared" si="1"/>
        <v>40.061618360966349</v>
      </c>
      <c r="R10" s="31" t="s">
        <v>35</v>
      </c>
      <c r="S10" s="31"/>
      <c r="T10" s="31"/>
      <c r="U10" s="31"/>
      <c r="V10" s="31"/>
      <c r="W10" s="31"/>
    </row>
    <row r="11" spans="2:23" x14ac:dyDescent="0.25">
      <c r="B11" s="2">
        <v>9</v>
      </c>
      <c r="C11" s="3">
        <v>2357.9</v>
      </c>
      <c r="D11" s="3">
        <v>7.5</v>
      </c>
      <c r="E11" s="3">
        <f t="shared" si="2"/>
        <v>-5.8625000000000007</v>
      </c>
      <c r="F11" s="7">
        <f t="shared" si="3"/>
        <v>34.368906250000009</v>
      </c>
      <c r="G11" s="7">
        <f t="shared" si="4"/>
        <v>-13823.188750000003</v>
      </c>
      <c r="O11" s="3">
        <f t="shared" si="0"/>
        <v>2349.1704269145071</v>
      </c>
      <c r="P11" s="3">
        <f t="shared" si="1"/>
        <v>8.7295730854930298</v>
      </c>
      <c r="R11" s="5" t="s">
        <v>21</v>
      </c>
      <c r="S11" s="5" t="s">
        <v>25</v>
      </c>
      <c r="T11" s="5" t="s">
        <v>22</v>
      </c>
      <c r="U11" s="5" t="s">
        <v>18</v>
      </c>
      <c r="V11" s="5" t="s">
        <v>23</v>
      </c>
      <c r="W11" s="5" t="s">
        <v>24</v>
      </c>
    </row>
    <row r="12" spans="2:23" x14ac:dyDescent="0.25">
      <c r="B12" s="2">
        <v>10</v>
      </c>
      <c r="C12" s="3">
        <v>2256.6999999999998</v>
      </c>
      <c r="D12" s="3">
        <v>11</v>
      </c>
      <c r="E12" s="3">
        <f t="shared" si="2"/>
        <v>-2.3625000000000007</v>
      </c>
      <c r="F12" s="7">
        <f t="shared" si="3"/>
        <v>5.5814062500000032</v>
      </c>
      <c r="G12" s="7">
        <f t="shared" si="4"/>
        <v>-5331.4537500000015</v>
      </c>
      <c r="O12" s="3">
        <f t="shared" si="0"/>
        <v>2219.1328586073387</v>
      </c>
      <c r="P12" s="3">
        <f t="shared" si="1"/>
        <v>37.567141392661142</v>
      </c>
      <c r="R12" s="5" t="s">
        <v>10</v>
      </c>
      <c r="S12" s="2">
        <v>1</v>
      </c>
      <c r="T12" s="3">
        <f>+K8</f>
        <v>2627.8223590012967</v>
      </c>
      <c r="U12" s="3">
        <f>+S7</f>
        <v>44.183911798178634</v>
      </c>
      <c r="V12" s="3">
        <f>+(T12-0)/U12</f>
        <v>59.47464251251791</v>
      </c>
      <c r="W12" s="7">
        <f>1-_xlfn.T.DIST(ABS(V12),S14,TRUE)</f>
        <v>0</v>
      </c>
    </row>
    <row r="13" spans="2:23" x14ac:dyDescent="0.25">
      <c r="B13" s="2">
        <v>11</v>
      </c>
      <c r="C13" s="3">
        <v>2165.1999999999998</v>
      </c>
      <c r="D13" s="3">
        <v>13</v>
      </c>
      <c r="E13" s="3">
        <f t="shared" si="2"/>
        <v>-0.36250000000000071</v>
      </c>
      <c r="F13" s="7">
        <f t="shared" si="3"/>
        <v>0.1314062500000005</v>
      </c>
      <c r="G13" s="7">
        <f t="shared" si="4"/>
        <v>-784.88500000000147</v>
      </c>
      <c r="O13" s="3">
        <f t="shared" si="0"/>
        <v>2144.825676717528</v>
      </c>
      <c r="P13" s="3">
        <f t="shared" si="1"/>
        <v>20.374323282471778</v>
      </c>
      <c r="R13" s="5" t="s">
        <v>9</v>
      </c>
      <c r="S13" s="2">
        <v>1</v>
      </c>
      <c r="T13" s="3">
        <f>+K7</f>
        <v>-37.153590944905268</v>
      </c>
      <c r="U13" s="3">
        <f>+S8</f>
        <v>2.889106548921919</v>
      </c>
      <c r="V13" s="3">
        <f>+(T13-0)/U13</f>
        <v>-12.859889490323322</v>
      </c>
      <c r="W13" s="7">
        <f>1-_xlfn.T.DIST(ABS(V13),S14,TRUE)</f>
        <v>8.2167161963297985E-11</v>
      </c>
    </row>
    <row r="14" spans="2:23" x14ac:dyDescent="0.25">
      <c r="B14" s="2">
        <v>12</v>
      </c>
      <c r="C14" s="3">
        <v>2399.5500000000002</v>
      </c>
      <c r="D14" s="3">
        <v>3.75</v>
      </c>
      <c r="E14" s="3">
        <f t="shared" si="2"/>
        <v>-9.6125000000000007</v>
      </c>
      <c r="F14" s="7">
        <f t="shared" si="3"/>
        <v>92.400156250000009</v>
      </c>
      <c r="G14" s="7">
        <f t="shared" si="4"/>
        <v>-23065.674375000002</v>
      </c>
      <c r="O14" s="3">
        <f t="shared" si="0"/>
        <v>2488.4963929579021</v>
      </c>
      <c r="P14" s="3">
        <f t="shared" si="1"/>
        <v>-88.946392957901935</v>
      </c>
      <c r="R14" s="5" t="s">
        <v>26</v>
      </c>
      <c r="S14" s="2">
        <v>18</v>
      </c>
      <c r="T14" s="2"/>
      <c r="U14" s="2"/>
      <c r="V14" s="2"/>
      <c r="W14" s="2"/>
    </row>
    <row r="15" spans="2:23" x14ac:dyDescent="0.25">
      <c r="B15" s="2">
        <v>13</v>
      </c>
      <c r="C15" s="3">
        <v>1779.8</v>
      </c>
      <c r="D15" s="3">
        <v>25</v>
      </c>
      <c r="E15" s="3">
        <f t="shared" si="2"/>
        <v>11.637499999999999</v>
      </c>
      <c r="F15" s="7">
        <f t="shared" si="3"/>
        <v>135.43140624999998</v>
      </c>
      <c r="G15" s="7">
        <f t="shared" si="4"/>
        <v>20712.422499999997</v>
      </c>
      <c r="O15" s="3">
        <f t="shared" si="0"/>
        <v>1698.9825853786651</v>
      </c>
      <c r="P15" s="3">
        <f t="shared" si="1"/>
        <v>80.817414621334819</v>
      </c>
    </row>
    <row r="16" spans="2:23" x14ac:dyDescent="0.25">
      <c r="B16" s="2">
        <v>14</v>
      </c>
      <c r="C16" s="3">
        <v>2336.75</v>
      </c>
      <c r="D16" s="3">
        <v>9.75</v>
      </c>
      <c r="E16" s="3">
        <f t="shared" si="2"/>
        <v>-3.6125000000000007</v>
      </c>
      <c r="F16" s="7">
        <f t="shared" si="3"/>
        <v>13.050156250000006</v>
      </c>
      <c r="G16" s="7">
        <f t="shared" si="4"/>
        <v>-8441.5093750000015</v>
      </c>
      <c r="O16" s="3">
        <f t="shared" si="0"/>
        <v>2265.5748472884702</v>
      </c>
      <c r="P16" s="3">
        <f t="shared" si="1"/>
        <v>71.17515271152979</v>
      </c>
      <c r="R16" s="5" t="s">
        <v>29</v>
      </c>
      <c r="S16" s="5" t="s">
        <v>27</v>
      </c>
      <c r="T16" s="5" t="s">
        <v>28</v>
      </c>
    </row>
    <row r="17" spans="2:23" x14ac:dyDescent="0.25">
      <c r="B17" s="2">
        <v>15</v>
      </c>
      <c r="C17" s="3">
        <v>1765.3</v>
      </c>
      <c r="D17" s="3">
        <v>22</v>
      </c>
      <c r="E17" s="3">
        <f t="shared" si="2"/>
        <v>8.6374999999999993</v>
      </c>
      <c r="F17" s="7">
        <f t="shared" si="3"/>
        <v>74.606406249999992</v>
      </c>
      <c r="G17" s="7">
        <f t="shared" si="4"/>
        <v>15247.778749999998</v>
      </c>
      <c r="O17" s="3">
        <f t="shared" si="0"/>
        <v>1810.4433582133809</v>
      </c>
      <c r="P17" s="3">
        <f t="shared" si="1"/>
        <v>-45.143358213380907</v>
      </c>
      <c r="R17" s="5" t="s">
        <v>10</v>
      </c>
      <c r="S17" s="3">
        <f>+T12-U12*_xlfn.T.INV.2T(0.05,18)</f>
        <v>2534.995404880437</v>
      </c>
      <c r="T17" s="3">
        <f>+T12+U12*_xlfn.T.INV.2T(0.05,18)</f>
        <v>2720.6493131221564</v>
      </c>
    </row>
    <row r="18" spans="2:23" x14ac:dyDescent="0.25">
      <c r="B18" s="2">
        <v>16</v>
      </c>
      <c r="C18" s="3">
        <v>2053.5</v>
      </c>
      <c r="D18" s="3">
        <v>18</v>
      </c>
      <c r="E18" s="3">
        <f t="shared" si="2"/>
        <v>4.6374999999999993</v>
      </c>
      <c r="F18" s="7">
        <f t="shared" si="3"/>
        <v>21.506406249999994</v>
      </c>
      <c r="G18" s="7">
        <f t="shared" si="4"/>
        <v>9523.1062499999989</v>
      </c>
      <c r="O18" s="3">
        <f t="shared" si="0"/>
        <v>1959.0577219930019</v>
      </c>
      <c r="P18" s="3">
        <f t="shared" si="1"/>
        <v>94.442278006998094</v>
      </c>
      <c r="R18" s="5" t="s">
        <v>9</v>
      </c>
      <c r="S18" s="3">
        <f>+T13-U13*_xlfn.T.INV.2T(0.05,18)</f>
        <v>-43.223378570140049</v>
      </c>
      <c r="T18" s="3">
        <f>+T13+U13*_xlfn.T.INV.2T(0.05,18)</f>
        <v>-31.083803319670487</v>
      </c>
    </row>
    <row r="19" spans="2:23" x14ac:dyDescent="0.25">
      <c r="B19" s="2">
        <v>17</v>
      </c>
      <c r="C19" s="3">
        <v>2414.4</v>
      </c>
      <c r="D19" s="3">
        <v>6</v>
      </c>
      <c r="E19" s="3">
        <f t="shared" si="2"/>
        <v>-7.3625000000000007</v>
      </c>
      <c r="F19" s="7">
        <f t="shared" si="3"/>
        <v>54.206406250000008</v>
      </c>
      <c r="G19" s="7">
        <f t="shared" si="4"/>
        <v>-17776.020000000004</v>
      </c>
      <c r="O19" s="3">
        <f t="shared" si="0"/>
        <v>2404.9008133318653</v>
      </c>
      <c r="P19" s="3">
        <f t="shared" si="1"/>
        <v>9.4991866681348256</v>
      </c>
    </row>
    <row r="20" spans="2:23" x14ac:dyDescent="0.25">
      <c r="B20" s="2">
        <v>18</v>
      </c>
      <c r="C20" s="3">
        <v>2200.5</v>
      </c>
      <c r="D20" s="3">
        <v>12.5</v>
      </c>
      <c r="E20" s="3">
        <f t="shared" si="2"/>
        <v>-0.86250000000000071</v>
      </c>
      <c r="F20" s="7">
        <f t="shared" si="3"/>
        <v>0.74390625000000121</v>
      </c>
      <c r="G20" s="7">
        <f t="shared" si="4"/>
        <v>-1897.9312500000015</v>
      </c>
      <c r="O20" s="3">
        <f t="shared" si="0"/>
        <v>2163.4024721899809</v>
      </c>
      <c r="P20" s="3">
        <f t="shared" si="1"/>
        <v>37.097527810019074</v>
      </c>
      <c r="R20" s="31" t="s">
        <v>39</v>
      </c>
      <c r="S20" s="31"/>
      <c r="T20" s="31"/>
      <c r="U20" s="31"/>
      <c r="V20" s="31"/>
      <c r="W20" s="31"/>
    </row>
    <row r="21" spans="2:23" x14ac:dyDescent="0.25">
      <c r="B21" s="2">
        <v>19</v>
      </c>
      <c r="C21" s="3">
        <v>2654.2</v>
      </c>
      <c r="D21" s="3">
        <v>2</v>
      </c>
      <c r="E21" s="3">
        <f t="shared" si="2"/>
        <v>-11.362500000000001</v>
      </c>
      <c r="F21" s="7">
        <f t="shared" si="3"/>
        <v>129.10640625000002</v>
      </c>
      <c r="G21" s="7">
        <f t="shared" si="4"/>
        <v>-30158.3475</v>
      </c>
      <c r="O21" s="3">
        <f t="shared" si="0"/>
        <v>2553.5151771114861</v>
      </c>
      <c r="P21" s="3">
        <f t="shared" si="1"/>
        <v>100.68482288851374</v>
      </c>
      <c r="R21" s="5" t="s">
        <v>21</v>
      </c>
      <c r="S21" s="5" t="s">
        <v>30</v>
      </c>
      <c r="T21" s="5" t="s">
        <v>31</v>
      </c>
      <c r="U21" s="5" t="s">
        <v>32</v>
      </c>
      <c r="V21" s="5" t="s">
        <v>33</v>
      </c>
      <c r="W21" s="5" t="s">
        <v>34</v>
      </c>
    </row>
    <row r="22" spans="2:23" x14ac:dyDescent="0.25">
      <c r="B22" s="2">
        <v>20</v>
      </c>
      <c r="C22" s="3">
        <v>1753.7</v>
      </c>
      <c r="D22" s="3">
        <v>21.5</v>
      </c>
      <c r="E22" s="3">
        <f t="shared" si="2"/>
        <v>8.1374999999999993</v>
      </c>
      <c r="F22" s="7">
        <f t="shared" si="3"/>
        <v>66.218906249999989</v>
      </c>
      <c r="G22" s="7">
        <f t="shared" si="4"/>
        <v>14270.733749999999</v>
      </c>
      <c r="O22" s="3">
        <f t="shared" si="0"/>
        <v>1829.0201536858335</v>
      </c>
      <c r="P22" s="3">
        <f t="shared" si="1"/>
        <v>-75.320153685833475</v>
      </c>
      <c r="R22" s="5" t="s">
        <v>35</v>
      </c>
      <c r="S22" s="2">
        <v>1</v>
      </c>
      <c r="T22" s="3">
        <f>+K7*K5</f>
        <v>1527482.743308021</v>
      </c>
      <c r="U22" s="3">
        <f>+T22/S22</f>
        <v>1527482.743308021</v>
      </c>
      <c r="V22" s="3">
        <f>+U22/U23</f>
        <v>165.37675770333172</v>
      </c>
      <c r="W22" s="3">
        <f>1-_xlfn.F.DIST(V22,S22,S24,TRUE)</f>
        <v>7.9812378928068028E-11</v>
      </c>
    </row>
    <row r="23" spans="2:23" x14ac:dyDescent="0.25">
      <c r="O23" s="5" t="s">
        <v>14</v>
      </c>
      <c r="P23" s="10">
        <f>+SUM(P3:P22)</f>
        <v>-1.5916157281026244E-12</v>
      </c>
      <c r="R23" s="5" t="s">
        <v>36</v>
      </c>
      <c r="S23" s="2">
        <v>18</v>
      </c>
      <c r="T23" s="3">
        <f>+T24-T22</f>
        <v>166254.8580669777</v>
      </c>
      <c r="U23" s="3">
        <f>+T23/S23</f>
        <v>9236.3810037209842</v>
      </c>
      <c r="V23" s="3"/>
      <c r="W23" s="3"/>
    </row>
    <row r="24" spans="2:23" x14ac:dyDescent="0.25">
      <c r="R24" s="5" t="s">
        <v>37</v>
      </c>
      <c r="S24" s="2">
        <f>+SUM(S22:S23)</f>
        <v>19</v>
      </c>
      <c r="T24" s="3">
        <f>+S4</f>
        <v>1693737.6013749987</v>
      </c>
      <c r="U24" s="3">
        <f>+T24/S24</f>
        <v>89144.084282894662</v>
      </c>
      <c r="V24" s="3"/>
      <c r="W24" s="3"/>
    </row>
    <row r="26" spans="2:23" x14ac:dyDescent="0.25">
      <c r="R26" s="5" t="s">
        <v>38</v>
      </c>
      <c r="S26" s="11">
        <f>+T22/T24</f>
        <v>0.90184143167630582</v>
      </c>
    </row>
  </sheetData>
  <mergeCells count="2">
    <mergeCell ref="R10:W10"/>
    <mergeCell ref="R20:W2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F5409-95ED-4A7B-96BD-00F632011131}">
  <dimension ref="B2:AD45"/>
  <sheetViews>
    <sheetView topLeftCell="A4" zoomScale="130" zoomScaleNormal="130" workbookViewId="0">
      <selection activeCell="N17" sqref="N17"/>
    </sheetView>
  </sheetViews>
  <sheetFormatPr defaultRowHeight="14.4" x14ac:dyDescent="0.3"/>
  <cols>
    <col min="1" max="1" width="3.88671875" customWidth="1"/>
    <col min="2" max="2" width="12.44140625" customWidth="1"/>
    <col min="3" max="3" width="13.77734375" bestFit="1" customWidth="1"/>
    <col min="4" max="4" width="8" bestFit="1" customWidth="1"/>
    <col min="5" max="5" width="3" customWidth="1"/>
    <col min="6" max="6" width="10" bestFit="1" customWidth="1"/>
    <col min="7" max="7" width="10.109375" bestFit="1" customWidth="1"/>
    <col min="8" max="8" width="7.44140625" bestFit="1" customWidth="1"/>
    <col min="9" max="9" width="5.88671875" customWidth="1"/>
    <col min="10" max="10" width="12.21875" bestFit="1" customWidth="1"/>
    <col min="11" max="11" width="9" bestFit="1" customWidth="1"/>
    <col min="12" max="12" width="9.109375" customWidth="1"/>
    <col min="13" max="23" width="9" bestFit="1" customWidth="1"/>
  </cols>
  <sheetData>
    <row r="2" spans="2:30" x14ac:dyDescent="0.3">
      <c r="B2" s="5" t="s">
        <v>0</v>
      </c>
      <c r="C2" s="5" t="s">
        <v>55</v>
      </c>
      <c r="D2" s="5" t="s">
        <v>56</v>
      </c>
      <c r="F2" s="24" t="s">
        <v>61</v>
      </c>
      <c r="G2" s="5" t="s">
        <v>10</v>
      </c>
      <c r="H2" s="5" t="s">
        <v>9</v>
      </c>
    </row>
    <row r="3" spans="2:30" x14ac:dyDescent="0.3">
      <c r="B3" s="2">
        <v>1</v>
      </c>
      <c r="C3" s="3">
        <v>2158.6999999999998</v>
      </c>
      <c r="D3" s="3">
        <v>15.5</v>
      </c>
      <c r="G3" s="19">
        <v>1</v>
      </c>
      <c r="H3" s="21">
        <f>+D3</f>
        <v>15.5</v>
      </c>
      <c r="J3" s="26" t="s">
        <v>57</v>
      </c>
      <c r="K3" s="21" cm="1">
        <f t="array" ref="K3:L4">+MMULT(TRANSPOSE(G3:H22),G3:H22)</f>
        <v>20</v>
      </c>
      <c r="L3" s="19">
        <v>267.25</v>
      </c>
    </row>
    <row r="4" spans="2:30" x14ac:dyDescent="0.3">
      <c r="B4" s="2">
        <v>2</v>
      </c>
      <c r="C4" s="3">
        <v>1678.15</v>
      </c>
      <c r="D4" s="3">
        <v>23.75</v>
      </c>
      <c r="G4" s="19">
        <v>1</v>
      </c>
      <c r="H4" s="21">
        <f t="shared" ref="H4:H22" si="0">+D4</f>
        <v>23.75</v>
      </c>
      <c r="K4" s="19">
        <v>267.25</v>
      </c>
      <c r="L4" s="19">
        <v>4677.6875</v>
      </c>
    </row>
    <row r="5" spans="2:30" x14ac:dyDescent="0.3">
      <c r="B5" s="2">
        <v>3</v>
      </c>
      <c r="C5" s="3">
        <v>2316</v>
      </c>
      <c r="D5" s="3">
        <v>8</v>
      </c>
      <c r="G5" s="19">
        <v>1</v>
      </c>
      <c r="H5" s="21">
        <f t="shared" si="0"/>
        <v>8</v>
      </c>
    </row>
    <row r="6" spans="2:30" x14ac:dyDescent="0.3">
      <c r="B6" s="2">
        <v>4</v>
      </c>
      <c r="C6" s="3">
        <v>2061.3000000000002</v>
      </c>
      <c r="D6" s="3">
        <v>17</v>
      </c>
      <c r="G6" s="19">
        <v>1</v>
      </c>
      <c r="H6" s="21">
        <f t="shared" si="0"/>
        <v>17</v>
      </c>
    </row>
    <row r="7" spans="2:30" x14ac:dyDescent="0.3">
      <c r="B7" s="2">
        <v>5</v>
      </c>
      <c r="C7" s="3">
        <v>2207.5</v>
      </c>
      <c r="D7" s="3">
        <v>5.5</v>
      </c>
      <c r="G7" s="19">
        <v>1</v>
      </c>
      <c r="H7" s="21">
        <f t="shared" si="0"/>
        <v>5.5</v>
      </c>
      <c r="I7" s="23"/>
      <c r="J7" s="26" t="s">
        <v>58</v>
      </c>
      <c r="K7" s="20" cm="1">
        <f t="array" ref="K7:L8">+MINVERSE(_xlfn.ANCHORARRAY(K3))</f>
        <v>0.21136179430046412</v>
      </c>
      <c r="L7" s="19">
        <v>-1.2075718937359332E-2</v>
      </c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</row>
    <row r="8" spans="2:30" x14ac:dyDescent="0.3">
      <c r="B8" s="2">
        <v>6</v>
      </c>
      <c r="C8" s="3">
        <v>1708.3</v>
      </c>
      <c r="D8" s="3">
        <v>19</v>
      </c>
      <c r="G8" s="19">
        <v>1</v>
      </c>
      <c r="H8" s="21">
        <f t="shared" si="0"/>
        <v>19</v>
      </c>
      <c r="K8" s="19">
        <v>-1.2075718937359332E-2</v>
      </c>
      <c r="L8" s="19">
        <v>9.037020720194073E-4</v>
      </c>
    </row>
    <row r="9" spans="2:30" x14ac:dyDescent="0.3">
      <c r="B9" s="2">
        <v>7</v>
      </c>
      <c r="C9" s="3">
        <v>1784.7</v>
      </c>
      <c r="D9" s="3">
        <v>24</v>
      </c>
      <c r="G9" s="19">
        <v>1</v>
      </c>
      <c r="H9" s="21">
        <f t="shared" si="0"/>
        <v>24</v>
      </c>
    </row>
    <row r="10" spans="2:30" x14ac:dyDescent="0.3">
      <c r="B10" s="2">
        <v>8</v>
      </c>
      <c r="C10" s="3">
        <v>2575</v>
      </c>
      <c r="D10" s="3">
        <v>2.5</v>
      </c>
      <c r="G10" s="19">
        <v>1</v>
      </c>
      <c r="H10" s="21">
        <f t="shared" si="0"/>
        <v>2.5</v>
      </c>
      <c r="J10" s="26" t="s">
        <v>59</v>
      </c>
      <c r="K10" s="22" cm="1">
        <f t="array" ref="K10:AD11">+MMULT(_xlfn.ANCHORARRAY(K7),TRANSPOSE(G3:H22))</f>
        <v>2.4188150771394468E-2</v>
      </c>
      <c r="L10" s="22">
        <v>-7.5436530461820001E-2</v>
      </c>
      <c r="M10" s="22">
        <v>0.11475604280158946</v>
      </c>
      <c r="N10" s="22">
        <v>6.0745723653554684E-3</v>
      </c>
      <c r="O10" s="22">
        <v>0.14494534014498778</v>
      </c>
      <c r="P10" s="22">
        <v>-1.8076865509363188E-2</v>
      </c>
      <c r="Q10" s="22">
        <v>-7.8455460196159871E-2</v>
      </c>
      <c r="R10" s="22">
        <v>0.18117249695706578</v>
      </c>
      <c r="S10" s="22">
        <v>0.12079390227026914</v>
      </c>
      <c r="T10" s="22">
        <v>7.8528885989511465E-2</v>
      </c>
      <c r="U10" s="22">
        <v>5.4377448114792809E-2</v>
      </c>
      <c r="V10" s="22">
        <v>0.16607784828536662</v>
      </c>
      <c r="W10" s="22">
        <v>-9.0531179133519185E-2</v>
      </c>
      <c r="X10" s="22">
        <v>9.3623534661210636E-2</v>
      </c>
      <c r="Y10" s="22">
        <v>-5.4304022321441187E-2</v>
      </c>
      <c r="Z10" s="22">
        <v>-6.0011465720038459E-3</v>
      </c>
      <c r="AA10" s="22">
        <v>0.13890748067630812</v>
      </c>
      <c r="AB10" s="22">
        <v>6.0415307583472466E-2</v>
      </c>
      <c r="AC10" s="22">
        <v>0.18721035642574546</v>
      </c>
      <c r="AD10" s="22">
        <v>-4.8266162852761502E-2</v>
      </c>
    </row>
    <row r="11" spans="2:30" x14ac:dyDescent="0.3">
      <c r="B11" s="2">
        <v>9</v>
      </c>
      <c r="C11" s="3">
        <v>2357.9</v>
      </c>
      <c r="D11" s="3">
        <v>7.5</v>
      </c>
      <c r="G11" s="19">
        <v>1</v>
      </c>
      <c r="H11" s="21">
        <f t="shared" si="0"/>
        <v>7.5</v>
      </c>
      <c r="K11" s="22">
        <v>1.9316631789414816E-3</v>
      </c>
      <c r="L11" s="22">
        <v>9.3872052731015926E-3</v>
      </c>
      <c r="M11" s="22">
        <v>-4.8461023612040733E-3</v>
      </c>
      <c r="N11" s="22">
        <v>3.2872162869705922E-3</v>
      </c>
      <c r="O11" s="22">
        <v>-7.1053575412525919E-3</v>
      </c>
      <c r="P11" s="22">
        <v>5.0946204310094063E-3</v>
      </c>
      <c r="Q11" s="22">
        <v>9.6131307911064452E-3</v>
      </c>
      <c r="R11" s="22">
        <v>-9.816463757310814E-3</v>
      </c>
      <c r="S11" s="22">
        <v>-5.2979533972137768E-3</v>
      </c>
      <c r="T11" s="22">
        <v>-2.1349961451458521E-3</v>
      </c>
      <c r="U11" s="22">
        <v>-3.2759200110703615E-4</v>
      </c>
      <c r="V11" s="22">
        <v>-8.6868361672865543E-3</v>
      </c>
      <c r="W11" s="22">
        <v>1.0516832863125852E-2</v>
      </c>
      <c r="X11" s="22">
        <v>-3.26462373517011E-3</v>
      </c>
      <c r="Y11" s="22">
        <v>7.8057266470676276E-3</v>
      </c>
      <c r="Z11" s="22">
        <v>4.1909183589899993E-3</v>
      </c>
      <c r="AA11" s="22">
        <v>-6.6535065052428875E-3</v>
      </c>
      <c r="AB11" s="22">
        <v>-7.7944303711673969E-4</v>
      </c>
      <c r="AC11" s="22">
        <v>-1.0268314793320518E-2</v>
      </c>
      <c r="AD11" s="22">
        <v>7.3538756110579258E-3</v>
      </c>
    </row>
    <row r="12" spans="2:30" x14ac:dyDescent="0.3">
      <c r="B12" s="2">
        <v>10</v>
      </c>
      <c r="C12" s="3">
        <v>2256.6999999999998</v>
      </c>
      <c r="D12" s="3">
        <v>11</v>
      </c>
      <c r="G12" s="19">
        <v>1</v>
      </c>
      <c r="H12" s="21">
        <f t="shared" si="0"/>
        <v>11</v>
      </c>
    </row>
    <row r="13" spans="2:30" x14ac:dyDescent="0.3">
      <c r="B13" s="2">
        <v>11</v>
      </c>
      <c r="C13" s="3">
        <v>2165.1999999999998</v>
      </c>
      <c r="D13" s="3">
        <v>13</v>
      </c>
      <c r="G13" s="19">
        <v>1</v>
      </c>
      <c r="H13" s="21">
        <f t="shared" si="0"/>
        <v>13</v>
      </c>
      <c r="J13" s="26" t="s">
        <v>60</v>
      </c>
      <c r="K13" s="19" cm="1">
        <f t="array" ref="K13:K14">+MMULT(_xlfn.ANCHORARRAY(K10),C3:C22)</f>
        <v>2627.8223590012981</v>
      </c>
      <c r="L13" s="27" t="s">
        <v>10</v>
      </c>
    </row>
    <row r="14" spans="2:30" x14ac:dyDescent="0.3">
      <c r="B14" s="2">
        <v>12</v>
      </c>
      <c r="C14" s="3">
        <v>2399.5500000000002</v>
      </c>
      <c r="D14" s="3">
        <v>3.75</v>
      </c>
      <c r="G14" s="19">
        <v>1</v>
      </c>
      <c r="H14" s="21">
        <f t="shared" si="0"/>
        <v>3.75</v>
      </c>
      <c r="K14" s="19">
        <v>-37.153590944905304</v>
      </c>
      <c r="L14" s="27" t="s">
        <v>9</v>
      </c>
    </row>
    <row r="15" spans="2:30" x14ac:dyDescent="0.3">
      <c r="B15" s="2">
        <v>13</v>
      </c>
      <c r="C15" s="3">
        <v>1779.8</v>
      </c>
      <c r="D15" s="3">
        <v>25</v>
      </c>
      <c r="G15" s="19">
        <v>1</v>
      </c>
      <c r="H15" s="21">
        <f t="shared" si="0"/>
        <v>25</v>
      </c>
    </row>
    <row r="16" spans="2:30" x14ac:dyDescent="0.3">
      <c r="B16" s="2">
        <v>14</v>
      </c>
      <c r="C16" s="3">
        <v>2336.75</v>
      </c>
      <c r="D16" s="3">
        <v>9.75</v>
      </c>
      <c r="G16" s="19">
        <v>1</v>
      </c>
      <c r="H16" s="21">
        <f t="shared" si="0"/>
        <v>9.75</v>
      </c>
    </row>
    <row r="17" spans="2:16" x14ac:dyDescent="0.3">
      <c r="B17" s="2">
        <v>15</v>
      </c>
      <c r="C17" s="3">
        <v>1765.3</v>
      </c>
      <c r="D17" s="3">
        <v>22</v>
      </c>
      <c r="G17" s="19">
        <v>1</v>
      </c>
      <c r="H17" s="21">
        <f t="shared" si="0"/>
        <v>22</v>
      </c>
      <c r="J17" s="28" t="s">
        <v>13</v>
      </c>
      <c r="K17" s="21" cm="1">
        <f t="array" ref="K17:K36">+C3:C22 - MMULT(G3:H22,_xlfn.ANCHORARRAY(K13))</f>
        <v>106.75830064473394</v>
      </c>
      <c r="M17" s="19" t="s">
        <v>63</v>
      </c>
      <c r="N17" s="19" cm="1">
        <f t="array" ref="N17">+MMULT(TRANSPOSE(_xlfn.ANCHORARRAY(K17)),_xlfn.ANCHORARRAY(K17))/(20-2)</f>
        <v>9236.3810037211733</v>
      </c>
      <c r="O17" t="s">
        <v>64</v>
      </c>
      <c r="P17" s="25">
        <f>+SQRT(N17)</f>
        <v>96.106092438102863</v>
      </c>
    </row>
    <row r="18" spans="2:16" x14ac:dyDescent="0.3">
      <c r="B18" s="2">
        <v>16</v>
      </c>
      <c r="C18" s="3">
        <v>2053.5</v>
      </c>
      <c r="D18" s="3">
        <v>18</v>
      </c>
      <c r="G18" s="19">
        <v>1</v>
      </c>
      <c r="H18" s="21">
        <f t="shared" si="0"/>
        <v>18</v>
      </c>
      <c r="K18" s="19">
        <v>-67.274574059797033</v>
      </c>
    </row>
    <row r="19" spans="2:16" x14ac:dyDescent="0.3">
      <c r="B19" s="2">
        <v>17</v>
      </c>
      <c r="C19" s="3">
        <v>2414.4</v>
      </c>
      <c r="D19" s="3">
        <v>6</v>
      </c>
      <c r="G19" s="19">
        <v>1</v>
      </c>
      <c r="H19" s="21">
        <f t="shared" si="0"/>
        <v>6</v>
      </c>
      <c r="K19" s="19">
        <v>-14.593631442055539</v>
      </c>
    </row>
    <row r="20" spans="2:16" x14ac:dyDescent="0.3">
      <c r="B20" s="2">
        <v>18</v>
      </c>
      <c r="C20" s="3">
        <v>2200.5</v>
      </c>
      <c r="D20" s="3">
        <v>12.5</v>
      </c>
      <c r="G20" s="19">
        <v>1</v>
      </c>
      <c r="H20" s="21">
        <f t="shared" si="0"/>
        <v>12.5</v>
      </c>
      <c r="K20" s="19">
        <v>65.088687062092276</v>
      </c>
      <c r="M20" s="29" t="s">
        <v>62</v>
      </c>
      <c r="N20" s="30" cm="1">
        <f t="array" ref="N20:O21">+N17*_xlfn.ANCHORARRAY(K7)</f>
        <v>1952.2180617892288</v>
      </c>
      <c r="O20" s="19">
        <v>-111.53594099930176</v>
      </c>
    </row>
    <row r="21" spans="2:16" x14ac:dyDescent="0.3">
      <c r="B21" s="2">
        <v>19</v>
      </c>
      <c r="C21" s="3">
        <v>2654.2</v>
      </c>
      <c r="D21" s="3">
        <v>2</v>
      </c>
      <c r="G21" s="19">
        <v>1</v>
      </c>
      <c r="H21" s="21">
        <f t="shared" si="0"/>
        <v>2</v>
      </c>
      <c r="K21" s="19">
        <v>-215.97760880431906</v>
      </c>
      <c r="N21" s="19">
        <v>-111.53594099930176</v>
      </c>
      <c r="O21" s="30">
        <v>8.3469366510235172</v>
      </c>
    </row>
    <row r="22" spans="2:16" x14ac:dyDescent="0.3">
      <c r="B22" s="2">
        <v>20</v>
      </c>
      <c r="C22" s="3">
        <v>1753.7</v>
      </c>
      <c r="D22" s="3">
        <v>21.5</v>
      </c>
      <c r="G22" s="19">
        <v>1</v>
      </c>
      <c r="H22" s="21">
        <f t="shared" si="0"/>
        <v>21.5</v>
      </c>
      <c r="K22" s="19">
        <v>-213.60413104809732</v>
      </c>
    </row>
    <row r="23" spans="2:16" x14ac:dyDescent="0.3">
      <c r="K23" s="19">
        <v>48.563823676429138</v>
      </c>
      <c r="M23" s="19" t="s">
        <v>18</v>
      </c>
      <c r="N23" s="21">
        <f>+SQRT(N20)</f>
        <v>44.183911798178634</v>
      </c>
      <c r="O23" s="27" t="s">
        <v>10</v>
      </c>
    </row>
    <row r="24" spans="2:16" x14ac:dyDescent="0.3">
      <c r="K24" s="19">
        <v>40.061618360964985</v>
      </c>
      <c r="N24" s="21">
        <f>+SQRT(O21)</f>
        <v>2.8891065489219185</v>
      </c>
      <c r="O24" s="27" t="s">
        <v>9</v>
      </c>
    </row>
    <row r="25" spans="2:16" x14ac:dyDescent="0.3">
      <c r="K25" s="19">
        <v>8.7295730854916656</v>
      </c>
    </row>
    <row r="26" spans="2:16" x14ac:dyDescent="0.3">
      <c r="H26" s="25"/>
      <c r="K26" s="19">
        <v>37.567141392660233</v>
      </c>
    </row>
    <row r="27" spans="2:16" x14ac:dyDescent="0.3">
      <c r="H27" s="25"/>
      <c r="K27" s="19">
        <v>20.374323282470868</v>
      </c>
    </row>
    <row r="28" spans="2:16" x14ac:dyDescent="0.3">
      <c r="H28" s="25"/>
      <c r="K28" s="19">
        <v>-88.946392957902845</v>
      </c>
    </row>
    <row r="29" spans="2:16" x14ac:dyDescent="0.3">
      <c r="H29" s="25"/>
      <c r="K29" s="19">
        <v>80.817414621334365</v>
      </c>
    </row>
    <row r="30" spans="2:16" x14ac:dyDescent="0.3">
      <c r="H30" s="25"/>
      <c r="K30" s="19">
        <v>71.175152711528426</v>
      </c>
    </row>
    <row r="31" spans="2:16" x14ac:dyDescent="0.3">
      <c r="H31" s="25"/>
      <c r="K31" s="19">
        <v>-45.143358213381589</v>
      </c>
    </row>
    <row r="32" spans="2:16" x14ac:dyDescent="0.3">
      <c r="H32" s="25"/>
      <c r="K32" s="19">
        <v>94.442278006997412</v>
      </c>
    </row>
    <row r="33" spans="8:11" x14ac:dyDescent="0.3">
      <c r="H33" s="25"/>
      <c r="K33" s="19">
        <v>9.4991866681339161</v>
      </c>
    </row>
    <row r="34" spans="8:11" x14ac:dyDescent="0.3">
      <c r="H34" s="25"/>
      <c r="K34" s="19">
        <v>37.097527810018164</v>
      </c>
    </row>
    <row r="35" spans="8:11" x14ac:dyDescent="0.3">
      <c r="H35" s="25"/>
      <c r="K35" s="19">
        <v>100.68482288851237</v>
      </c>
    </row>
    <row r="36" spans="8:11" x14ac:dyDescent="0.3">
      <c r="H36" s="25"/>
      <c r="K36" s="19">
        <v>-75.32015368583393</v>
      </c>
    </row>
    <row r="37" spans="8:11" x14ac:dyDescent="0.3">
      <c r="H37" s="25"/>
    </row>
    <row r="38" spans="8:11" x14ac:dyDescent="0.3">
      <c r="H38" s="25"/>
    </row>
    <row r="39" spans="8:11" x14ac:dyDescent="0.3">
      <c r="H39" s="25"/>
    </row>
    <row r="40" spans="8:11" x14ac:dyDescent="0.3">
      <c r="H40" s="25"/>
    </row>
    <row r="41" spans="8:11" x14ac:dyDescent="0.3">
      <c r="H41" s="25"/>
    </row>
    <row r="42" spans="8:11" x14ac:dyDescent="0.3">
      <c r="H42" s="25"/>
    </row>
    <row r="43" spans="8:11" x14ac:dyDescent="0.3">
      <c r="H43" s="25"/>
    </row>
    <row r="44" spans="8:11" x14ac:dyDescent="0.3">
      <c r="H44" s="25"/>
    </row>
    <row r="45" spans="8:11" x14ac:dyDescent="0.3">
      <c r="H45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1A05E-7673-4E59-8908-8A881A0E35FC}">
  <dimension ref="B2:C16"/>
  <sheetViews>
    <sheetView workbookViewId="0">
      <selection activeCell="C3" sqref="C3"/>
    </sheetView>
  </sheetViews>
  <sheetFormatPr defaultRowHeight="13.8" x14ac:dyDescent="0.25"/>
  <cols>
    <col min="1" max="1" width="8.88671875" style="1"/>
    <col min="2" max="2" width="6.5546875" style="1" bestFit="1" customWidth="1"/>
    <col min="3" max="3" width="12.5546875" style="1" bestFit="1" customWidth="1"/>
    <col min="4" max="16384" width="8.88671875" style="1"/>
  </cols>
  <sheetData>
    <row r="2" spans="2:3" x14ac:dyDescent="0.25">
      <c r="B2" s="2" t="s">
        <v>65</v>
      </c>
      <c r="C2" s="2" t="s">
        <v>55</v>
      </c>
    </row>
    <row r="3" spans="2:3" x14ac:dyDescent="0.25">
      <c r="B3" s="2" t="s">
        <v>41</v>
      </c>
      <c r="C3" s="2">
        <v>8</v>
      </c>
    </row>
    <row r="4" spans="2:3" x14ac:dyDescent="0.25">
      <c r="B4" s="2" t="s">
        <v>41</v>
      </c>
      <c r="C4" s="2">
        <v>9</v>
      </c>
    </row>
    <row r="5" spans="2:3" x14ac:dyDescent="0.25">
      <c r="B5" s="2" t="s">
        <v>41</v>
      </c>
      <c r="C5" s="2">
        <v>7</v>
      </c>
    </row>
    <row r="6" spans="2:3" x14ac:dyDescent="0.25">
      <c r="B6" s="2" t="s">
        <v>41</v>
      </c>
      <c r="C6" s="2">
        <v>10</v>
      </c>
    </row>
    <row r="7" spans="2:3" x14ac:dyDescent="0.25">
      <c r="B7" s="2" t="s">
        <v>41</v>
      </c>
      <c r="C7" s="2">
        <v>6</v>
      </c>
    </row>
    <row r="8" spans="2:3" x14ac:dyDescent="0.25">
      <c r="B8" s="2" t="s">
        <v>41</v>
      </c>
      <c r="C8" s="2">
        <v>8</v>
      </c>
    </row>
    <row r="9" spans="2:3" x14ac:dyDescent="0.25">
      <c r="B9" s="2" t="s">
        <v>41</v>
      </c>
      <c r="C9" s="2">
        <v>9</v>
      </c>
    </row>
    <row r="10" spans="2:3" x14ac:dyDescent="0.25">
      <c r="B10" s="2" t="s">
        <v>42</v>
      </c>
      <c r="C10" s="2">
        <v>5</v>
      </c>
    </row>
    <row r="11" spans="2:3" x14ac:dyDescent="0.25">
      <c r="B11" s="2" t="s">
        <v>42</v>
      </c>
      <c r="C11" s="2">
        <v>6</v>
      </c>
    </row>
    <row r="12" spans="2:3" x14ac:dyDescent="0.25">
      <c r="B12" s="2" t="s">
        <v>42</v>
      </c>
      <c r="C12" s="2">
        <v>5</v>
      </c>
    </row>
    <row r="13" spans="2:3" x14ac:dyDescent="0.25">
      <c r="B13" s="2" t="s">
        <v>42</v>
      </c>
      <c r="C13" s="2">
        <v>4</v>
      </c>
    </row>
    <row r="14" spans="2:3" x14ac:dyDescent="0.25">
      <c r="B14" s="2" t="s">
        <v>42</v>
      </c>
      <c r="C14" s="2">
        <v>6</v>
      </c>
    </row>
    <row r="15" spans="2:3" x14ac:dyDescent="0.25">
      <c r="B15" s="2" t="s">
        <v>42</v>
      </c>
      <c r="C15" s="2">
        <v>5</v>
      </c>
    </row>
    <row r="16" spans="2:3" x14ac:dyDescent="0.25">
      <c r="B16" s="2" t="s">
        <v>42</v>
      </c>
      <c r="C16" s="2">
        <v>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88EC2-D9B9-4C30-9ECF-ACFA827222F8}">
  <dimension ref="B2:AD26"/>
  <sheetViews>
    <sheetView topLeftCell="A7" zoomScale="115" zoomScaleNormal="115" workbookViewId="0">
      <selection activeCell="M2" sqref="M2:N16"/>
    </sheetView>
  </sheetViews>
  <sheetFormatPr defaultColWidth="15.109375" defaultRowHeight="15.6" x14ac:dyDescent="0.3"/>
  <cols>
    <col min="1" max="1" width="3" style="12" customWidth="1"/>
    <col min="2" max="2" width="8.33203125" style="12" bestFit="1" customWidth="1"/>
    <col min="3" max="3" width="15.21875" style="12" bestFit="1" customWidth="1"/>
    <col min="4" max="7" width="3" style="12" customWidth="1"/>
    <col min="8" max="8" width="7.21875" style="12" bestFit="1" customWidth="1"/>
    <col min="9" max="9" width="7.109375" style="12" bestFit="1" customWidth="1"/>
    <col min="10" max="10" width="15.21875" style="12" bestFit="1" customWidth="1"/>
    <col min="11" max="12" width="5" style="12" customWidth="1"/>
    <col min="13" max="13" width="10.109375" style="12" bestFit="1" customWidth="1"/>
    <col min="14" max="14" width="15.21875" style="12" customWidth="1"/>
    <col min="15" max="15" width="9.5546875" style="12" bestFit="1" customWidth="1"/>
    <col min="16" max="16" width="13.33203125" style="12" bestFit="1" customWidth="1"/>
    <col min="17" max="17" width="11.88671875" style="12" bestFit="1" customWidth="1"/>
    <col min="18" max="18" width="3.88671875" style="12" customWidth="1"/>
    <col min="19" max="19" width="7.88671875" style="12" bestFit="1" customWidth="1"/>
    <col min="20" max="20" width="5.21875" style="12" customWidth="1"/>
    <col min="21" max="21" width="3.5546875" style="12" customWidth="1"/>
    <col min="22" max="22" width="11.44140625" style="12" bestFit="1" customWidth="1"/>
    <col min="23" max="23" width="5.5546875" style="12" bestFit="1" customWidth="1"/>
    <col min="24" max="24" width="4.21875" style="12" customWidth="1"/>
    <col min="25" max="25" width="10.21875" style="12" bestFit="1" customWidth="1"/>
    <col min="26" max="26" width="7.77734375" style="12" bestFit="1" customWidth="1"/>
    <col min="27" max="27" width="11.33203125" style="12" bestFit="1" customWidth="1"/>
    <col min="28" max="29" width="7.77734375" style="12" bestFit="1" customWidth="1"/>
    <col min="30" max="30" width="7.44140625" style="12" bestFit="1" customWidth="1"/>
    <col min="31" max="16384" width="15.109375" style="12"/>
  </cols>
  <sheetData>
    <row r="2" spans="2:30" x14ac:dyDescent="0.3">
      <c r="B2" s="14" t="s">
        <v>40</v>
      </c>
      <c r="C2" s="14" t="s">
        <v>3</v>
      </c>
      <c r="E2" s="32" t="s">
        <v>43</v>
      </c>
      <c r="F2" s="32"/>
      <c r="H2" s="14" t="s">
        <v>44</v>
      </c>
      <c r="I2" s="14" t="s">
        <v>45</v>
      </c>
      <c r="J2" s="14" t="s">
        <v>3</v>
      </c>
      <c r="M2" s="14" t="s">
        <v>46</v>
      </c>
      <c r="N2" s="14" t="s">
        <v>3</v>
      </c>
      <c r="O2" s="8" t="s">
        <v>6</v>
      </c>
      <c r="P2" s="8" t="s">
        <v>7</v>
      </c>
      <c r="Q2" s="8" t="s">
        <v>8</v>
      </c>
      <c r="S2" s="5" t="s">
        <v>11</v>
      </c>
      <c r="T2" s="3">
        <f>+AVERAGE(N3:N16)</f>
        <v>6.7857142857142856</v>
      </c>
      <c r="V2" s="9" t="s">
        <v>12</v>
      </c>
      <c r="W2" s="9" t="s">
        <v>13</v>
      </c>
      <c r="X2" s="1"/>
      <c r="Y2" s="1"/>
      <c r="Z2" s="1"/>
      <c r="AA2" s="1"/>
      <c r="AB2" s="1"/>
      <c r="AC2" s="1"/>
      <c r="AD2" s="1"/>
    </row>
    <row r="3" spans="2:30" x14ac:dyDescent="0.3">
      <c r="B3" s="14" t="s">
        <v>41</v>
      </c>
      <c r="C3" s="13">
        <v>8</v>
      </c>
      <c r="E3" s="32"/>
      <c r="F3" s="32"/>
      <c r="H3" s="13">
        <f>+IF(B3="A",1,0)</f>
        <v>1</v>
      </c>
      <c r="I3" s="13">
        <f>+IF(B3="B",1,0)</f>
        <v>0</v>
      </c>
      <c r="J3" s="13">
        <f>+C3</f>
        <v>8</v>
      </c>
      <c r="M3" s="13">
        <f>+I3</f>
        <v>0</v>
      </c>
      <c r="N3" s="13">
        <f>+J3</f>
        <v>8</v>
      </c>
      <c r="O3" s="3">
        <f>+M3-$T$3</f>
        <v>-0.5</v>
      </c>
      <c r="P3" s="7">
        <f>+O3^2</f>
        <v>0.25</v>
      </c>
      <c r="Q3" s="7">
        <f>+N3*O3</f>
        <v>-4</v>
      </c>
      <c r="S3" s="5" t="s">
        <v>5</v>
      </c>
      <c r="T3" s="3">
        <f>+AVERAGE(M3:M16)</f>
        <v>0.5</v>
      </c>
      <c r="V3" s="3">
        <f>+$T$8+$T$7*M3</f>
        <v>8.1428571428571423</v>
      </c>
      <c r="W3" s="3">
        <f t="shared" ref="W3:W16" si="0">+J3-V3</f>
        <v>-0.14285714285714235</v>
      </c>
      <c r="X3" s="1"/>
      <c r="Y3" s="5" t="s">
        <v>15</v>
      </c>
      <c r="Z3" s="3">
        <f>+SUMSQ(W3:W16)</f>
        <v>16.571428571428569</v>
      </c>
      <c r="AA3" s="1"/>
      <c r="AB3" s="1"/>
      <c r="AC3" s="1"/>
      <c r="AD3" s="1"/>
    </row>
    <row r="4" spans="2:30" x14ac:dyDescent="0.3">
      <c r="B4" s="14" t="s">
        <v>41</v>
      </c>
      <c r="C4" s="13">
        <v>9</v>
      </c>
      <c r="E4" s="32"/>
      <c r="F4" s="32"/>
      <c r="H4" s="13">
        <f t="shared" ref="H4:H16" si="1">+IF(B4="A",1,0)</f>
        <v>1</v>
      </c>
      <c r="I4" s="13">
        <f t="shared" ref="I4:I16" si="2">+IF(B4="B",1,0)</f>
        <v>0</v>
      </c>
      <c r="J4" s="13">
        <f t="shared" ref="J4:J16" si="3">+C4</f>
        <v>9</v>
      </c>
      <c r="M4" s="13">
        <f t="shared" ref="M4:M16" si="4">+I4</f>
        <v>0</v>
      </c>
      <c r="N4" s="13">
        <f t="shared" ref="N4:N16" si="5">+J4</f>
        <v>9</v>
      </c>
      <c r="O4" s="3">
        <f t="shared" ref="O4:O16" si="6">+M4-$T$3</f>
        <v>-0.5</v>
      </c>
      <c r="P4" s="7">
        <f>+O4^2</f>
        <v>0.25</v>
      </c>
      <c r="Q4" s="7">
        <f t="shared" ref="Q4:Q16" si="7">+N4*O4</f>
        <v>-4.5</v>
      </c>
      <c r="S4" s="5" t="s">
        <v>1</v>
      </c>
      <c r="T4" s="3">
        <f>+SUM(P3:P16)</f>
        <v>3.5</v>
      </c>
      <c r="V4" s="3">
        <f t="shared" ref="V4:V16" si="8">+$T$8+$T$7*M4</f>
        <v>8.1428571428571423</v>
      </c>
      <c r="W4" s="3">
        <f t="shared" si="0"/>
        <v>0.85714285714285765</v>
      </c>
      <c r="X4" s="1"/>
      <c r="Y4" s="5" t="s">
        <v>16</v>
      </c>
      <c r="Z4" s="3">
        <f>+SUMSQ(J3:J16)-14*T2^2</f>
        <v>42.35714285714289</v>
      </c>
      <c r="AA4" s="1"/>
      <c r="AB4" s="1"/>
      <c r="AC4" s="1"/>
      <c r="AD4" s="1"/>
    </row>
    <row r="5" spans="2:30" x14ac:dyDescent="0.3">
      <c r="B5" s="14" t="s">
        <v>41</v>
      </c>
      <c r="C5" s="13">
        <v>7</v>
      </c>
      <c r="E5" s="32"/>
      <c r="F5" s="32"/>
      <c r="H5" s="13">
        <f t="shared" si="1"/>
        <v>1</v>
      </c>
      <c r="I5" s="13">
        <f t="shared" si="2"/>
        <v>0</v>
      </c>
      <c r="J5" s="13">
        <f t="shared" si="3"/>
        <v>7</v>
      </c>
      <c r="M5" s="13">
        <f t="shared" si="4"/>
        <v>0</v>
      </c>
      <c r="N5" s="13">
        <f t="shared" si="5"/>
        <v>7</v>
      </c>
      <c r="O5" s="3">
        <f t="shared" si="6"/>
        <v>-0.5</v>
      </c>
      <c r="P5" s="7">
        <f t="shared" ref="P5:P16" si="9">+O5^2</f>
        <v>0.25</v>
      </c>
      <c r="Q5" s="7">
        <f t="shared" si="7"/>
        <v>-3.5</v>
      </c>
      <c r="S5" s="5" t="s">
        <v>2</v>
      </c>
      <c r="T5" s="3">
        <f>+SUM(Q3:Q16)</f>
        <v>-9.5</v>
      </c>
      <c r="V5" s="3">
        <f t="shared" si="8"/>
        <v>8.1428571428571423</v>
      </c>
      <c r="W5" s="3">
        <f t="shared" si="0"/>
        <v>-1.1428571428571423</v>
      </c>
      <c r="X5" s="1"/>
      <c r="Y5" s="5" t="s">
        <v>17</v>
      </c>
      <c r="Z5" s="3">
        <f>+Z3/(14-2)</f>
        <v>1.3809523809523807</v>
      </c>
      <c r="AA5" s="1"/>
      <c r="AB5" s="1"/>
      <c r="AC5" s="1"/>
      <c r="AD5" s="1"/>
    </row>
    <row r="6" spans="2:30" x14ac:dyDescent="0.3">
      <c r="B6" s="14" t="s">
        <v>41</v>
      </c>
      <c r="C6" s="13">
        <v>10</v>
      </c>
      <c r="E6" s="32"/>
      <c r="F6" s="32"/>
      <c r="H6" s="13">
        <f t="shared" si="1"/>
        <v>1</v>
      </c>
      <c r="I6" s="13">
        <f t="shared" si="2"/>
        <v>0</v>
      </c>
      <c r="J6" s="13">
        <f t="shared" si="3"/>
        <v>10</v>
      </c>
      <c r="M6" s="13">
        <f t="shared" si="4"/>
        <v>0</v>
      </c>
      <c r="N6" s="13">
        <f t="shared" si="5"/>
        <v>10</v>
      </c>
      <c r="O6" s="3">
        <f t="shared" si="6"/>
        <v>-0.5</v>
      </c>
      <c r="P6" s="7">
        <f t="shared" si="9"/>
        <v>0.25</v>
      </c>
      <c r="Q6" s="7">
        <f t="shared" si="7"/>
        <v>-5</v>
      </c>
      <c r="S6" s="1"/>
      <c r="T6" s="4"/>
      <c r="V6" s="3">
        <f t="shared" si="8"/>
        <v>8.1428571428571423</v>
      </c>
      <c r="W6" s="3">
        <f t="shared" si="0"/>
        <v>1.8571428571428577</v>
      </c>
      <c r="X6" s="1"/>
      <c r="Y6" s="1"/>
      <c r="Z6" s="1"/>
      <c r="AA6" s="1"/>
      <c r="AB6" s="1"/>
      <c r="AC6" s="1"/>
      <c r="AD6" s="1"/>
    </row>
    <row r="7" spans="2:30" x14ac:dyDescent="0.3">
      <c r="B7" s="14" t="s">
        <v>41</v>
      </c>
      <c r="C7" s="13">
        <v>6</v>
      </c>
      <c r="E7" s="32"/>
      <c r="F7" s="32"/>
      <c r="H7" s="13">
        <f t="shared" si="1"/>
        <v>1</v>
      </c>
      <c r="I7" s="13">
        <f t="shared" si="2"/>
        <v>0</v>
      </c>
      <c r="J7" s="13">
        <f t="shared" si="3"/>
        <v>6</v>
      </c>
      <c r="M7" s="13">
        <f t="shared" si="4"/>
        <v>0</v>
      </c>
      <c r="N7" s="13">
        <f t="shared" si="5"/>
        <v>6</v>
      </c>
      <c r="O7" s="3">
        <f t="shared" si="6"/>
        <v>-0.5</v>
      </c>
      <c r="P7" s="7">
        <f t="shared" si="9"/>
        <v>0.25</v>
      </c>
      <c r="Q7" s="7">
        <f t="shared" si="7"/>
        <v>-3</v>
      </c>
      <c r="S7" s="5" t="s">
        <v>9</v>
      </c>
      <c r="T7" s="3">
        <f>+T5/T4</f>
        <v>-2.7142857142857144</v>
      </c>
      <c r="V7" s="3">
        <f t="shared" si="8"/>
        <v>8.1428571428571423</v>
      </c>
      <c r="W7" s="3">
        <f t="shared" si="0"/>
        <v>-2.1428571428571423</v>
      </c>
      <c r="X7" s="1"/>
      <c r="Y7" s="5" t="s">
        <v>20</v>
      </c>
      <c r="Z7" s="7">
        <f>+SQRT(Z5*((1/20)+(POWER(T3,2)/T4)))</f>
        <v>0.4094961230951179</v>
      </c>
      <c r="AA7" s="1"/>
      <c r="AB7" s="1"/>
      <c r="AC7" s="1"/>
      <c r="AD7" s="1"/>
    </row>
    <row r="8" spans="2:30" x14ac:dyDescent="0.3">
      <c r="B8" s="14" t="s">
        <v>41</v>
      </c>
      <c r="C8" s="13">
        <v>8</v>
      </c>
      <c r="E8" s="32"/>
      <c r="F8" s="32"/>
      <c r="H8" s="13">
        <f t="shared" si="1"/>
        <v>1</v>
      </c>
      <c r="I8" s="13">
        <f t="shared" si="2"/>
        <v>0</v>
      </c>
      <c r="J8" s="13">
        <f t="shared" si="3"/>
        <v>8</v>
      </c>
      <c r="M8" s="13">
        <f t="shared" si="4"/>
        <v>0</v>
      </c>
      <c r="N8" s="13">
        <f t="shared" si="5"/>
        <v>8</v>
      </c>
      <c r="O8" s="3">
        <f t="shared" si="6"/>
        <v>-0.5</v>
      </c>
      <c r="P8" s="7">
        <f t="shared" si="9"/>
        <v>0.25</v>
      </c>
      <c r="Q8" s="7">
        <f t="shared" si="7"/>
        <v>-4</v>
      </c>
      <c r="S8" s="5" t="s">
        <v>10</v>
      </c>
      <c r="T8" s="3">
        <f>+T2-T7*T3</f>
        <v>8.1428571428571423</v>
      </c>
      <c r="V8" s="3">
        <f t="shared" si="8"/>
        <v>8.1428571428571423</v>
      </c>
      <c r="W8" s="3">
        <f t="shared" si="0"/>
        <v>-0.14285714285714235</v>
      </c>
      <c r="X8" s="1"/>
      <c r="Y8" s="5" t="s">
        <v>19</v>
      </c>
      <c r="Z8" s="7">
        <f>+SQRT(Z5/T4)</f>
        <v>0.62813837896537705</v>
      </c>
      <c r="AA8" s="1"/>
      <c r="AB8" s="1"/>
      <c r="AC8" s="1"/>
      <c r="AD8" s="1"/>
    </row>
    <row r="9" spans="2:30" x14ac:dyDescent="0.3">
      <c r="B9" s="14" t="s">
        <v>41</v>
      </c>
      <c r="C9" s="13">
        <v>9</v>
      </c>
      <c r="E9" s="32"/>
      <c r="F9" s="32"/>
      <c r="H9" s="13">
        <f t="shared" si="1"/>
        <v>1</v>
      </c>
      <c r="I9" s="13">
        <f t="shared" si="2"/>
        <v>0</v>
      </c>
      <c r="J9" s="13">
        <f t="shared" si="3"/>
        <v>9</v>
      </c>
      <c r="M9" s="13">
        <f t="shared" si="4"/>
        <v>0</v>
      </c>
      <c r="N9" s="13">
        <f t="shared" si="5"/>
        <v>9</v>
      </c>
      <c r="O9" s="3">
        <f t="shared" si="6"/>
        <v>-0.5</v>
      </c>
      <c r="P9" s="7">
        <f t="shared" si="9"/>
        <v>0.25</v>
      </c>
      <c r="Q9" s="7">
        <f t="shared" si="7"/>
        <v>-4.5</v>
      </c>
      <c r="V9" s="3">
        <f t="shared" si="8"/>
        <v>8.1428571428571423</v>
      </c>
      <c r="W9" s="3">
        <f t="shared" si="0"/>
        <v>0.85714285714285765</v>
      </c>
      <c r="X9" s="1"/>
      <c r="Y9" s="1"/>
      <c r="Z9" s="1"/>
      <c r="AA9" s="1"/>
      <c r="AB9" s="1"/>
      <c r="AC9" s="1"/>
      <c r="AD9" s="1"/>
    </row>
    <row r="10" spans="2:30" x14ac:dyDescent="0.3">
      <c r="B10" s="14" t="s">
        <v>42</v>
      </c>
      <c r="C10" s="13">
        <v>5</v>
      </c>
      <c r="E10" s="32"/>
      <c r="F10" s="32"/>
      <c r="H10" s="13">
        <f t="shared" si="1"/>
        <v>0</v>
      </c>
      <c r="I10" s="13">
        <f t="shared" si="2"/>
        <v>1</v>
      </c>
      <c r="J10" s="13">
        <f t="shared" si="3"/>
        <v>5</v>
      </c>
      <c r="M10" s="13">
        <f t="shared" si="4"/>
        <v>1</v>
      </c>
      <c r="N10" s="13">
        <f t="shared" si="5"/>
        <v>5</v>
      </c>
      <c r="O10" s="3">
        <f t="shared" si="6"/>
        <v>0.5</v>
      </c>
      <c r="P10" s="7">
        <f t="shared" si="9"/>
        <v>0.25</v>
      </c>
      <c r="Q10" s="7">
        <f t="shared" si="7"/>
        <v>2.5</v>
      </c>
      <c r="V10" s="3">
        <f t="shared" si="8"/>
        <v>5.4285714285714279</v>
      </c>
      <c r="W10" s="3">
        <f t="shared" si="0"/>
        <v>-0.42857142857142794</v>
      </c>
      <c r="X10" s="1"/>
      <c r="Y10" s="31" t="s">
        <v>35</v>
      </c>
      <c r="Z10" s="31"/>
      <c r="AA10" s="31"/>
      <c r="AB10" s="31"/>
      <c r="AC10" s="31"/>
      <c r="AD10" s="31"/>
    </row>
    <row r="11" spans="2:30" x14ac:dyDescent="0.3">
      <c r="B11" s="14" t="s">
        <v>42</v>
      </c>
      <c r="C11" s="13">
        <v>6</v>
      </c>
      <c r="E11" s="32"/>
      <c r="F11" s="32"/>
      <c r="H11" s="13">
        <f t="shared" si="1"/>
        <v>0</v>
      </c>
      <c r="I11" s="13">
        <f t="shared" si="2"/>
        <v>1</v>
      </c>
      <c r="J11" s="13">
        <f t="shared" si="3"/>
        <v>6</v>
      </c>
      <c r="M11" s="13">
        <f t="shared" si="4"/>
        <v>1</v>
      </c>
      <c r="N11" s="13">
        <f t="shared" si="5"/>
        <v>6</v>
      </c>
      <c r="O11" s="3">
        <f t="shared" si="6"/>
        <v>0.5</v>
      </c>
      <c r="P11" s="7">
        <f t="shared" si="9"/>
        <v>0.25</v>
      </c>
      <c r="Q11" s="7">
        <f t="shared" si="7"/>
        <v>3</v>
      </c>
      <c r="V11" s="3">
        <f t="shared" si="8"/>
        <v>5.4285714285714279</v>
      </c>
      <c r="W11" s="3">
        <f t="shared" si="0"/>
        <v>0.57142857142857206</v>
      </c>
      <c r="X11" s="1"/>
      <c r="Y11" s="5" t="s">
        <v>21</v>
      </c>
      <c r="Z11" s="5" t="s">
        <v>25</v>
      </c>
      <c r="AA11" s="5" t="s">
        <v>22</v>
      </c>
      <c r="AB11" s="5" t="s">
        <v>18</v>
      </c>
      <c r="AC11" s="5" t="s">
        <v>23</v>
      </c>
      <c r="AD11" s="5" t="s">
        <v>24</v>
      </c>
    </row>
    <row r="12" spans="2:30" x14ac:dyDescent="0.3">
      <c r="B12" s="14" t="s">
        <v>42</v>
      </c>
      <c r="C12" s="13">
        <v>5</v>
      </c>
      <c r="E12" s="32"/>
      <c r="F12" s="32"/>
      <c r="H12" s="13">
        <f t="shared" si="1"/>
        <v>0</v>
      </c>
      <c r="I12" s="13">
        <f t="shared" si="2"/>
        <v>1</v>
      </c>
      <c r="J12" s="13">
        <f t="shared" si="3"/>
        <v>5</v>
      </c>
      <c r="M12" s="13">
        <f t="shared" si="4"/>
        <v>1</v>
      </c>
      <c r="N12" s="13">
        <f t="shared" si="5"/>
        <v>5</v>
      </c>
      <c r="O12" s="3">
        <f t="shared" si="6"/>
        <v>0.5</v>
      </c>
      <c r="P12" s="7">
        <f t="shared" si="9"/>
        <v>0.25</v>
      </c>
      <c r="Q12" s="7">
        <f t="shared" si="7"/>
        <v>2.5</v>
      </c>
      <c r="V12" s="3">
        <f t="shared" si="8"/>
        <v>5.4285714285714279</v>
      </c>
      <c r="W12" s="3">
        <f t="shared" si="0"/>
        <v>-0.42857142857142794</v>
      </c>
      <c r="X12" s="1"/>
      <c r="Y12" s="5" t="s">
        <v>10</v>
      </c>
      <c r="Z12" s="2">
        <v>1</v>
      </c>
      <c r="AA12" s="3">
        <f>+T8</f>
        <v>8.1428571428571423</v>
      </c>
      <c r="AB12" s="3">
        <f>+Z7</f>
        <v>0.4094961230951179</v>
      </c>
      <c r="AC12" s="3">
        <f>+(AA12-0)/AB12</f>
        <v>19.885065287823778</v>
      </c>
      <c r="AD12" s="6">
        <f>1-_xlfn.T.DIST(ABS(AC12),Z14,TRUE)</f>
        <v>7.4592776400095318E-11</v>
      </c>
    </row>
    <row r="13" spans="2:30" x14ac:dyDescent="0.3">
      <c r="B13" s="14" t="s">
        <v>42</v>
      </c>
      <c r="C13" s="13">
        <v>4</v>
      </c>
      <c r="E13" s="32"/>
      <c r="F13" s="32"/>
      <c r="H13" s="13">
        <f t="shared" si="1"/>
        <v>0</v>
      </c>
      <c r="I13" s="13">
        <f t="shared" si="2"/>
        <v>1</v>
      </c>
      <c r="J13" s="13">
        <f t="shared" si="3"/>
        <v>4</v>
      </c>
      <c r="M13" s="13">
        <f t="shared" si="4"/>
        <v>1</v>
      </c>
      <c r="N13" s="13">
        <f t="shared" si="5"/>
        <v>4</v>
      </c>
      <c r="O13" s="3">
        <f t="shared" si="6"/>
        <v>0.5</v>
      </c>
      <c r="P13" s="7">
        <f t="shared" si="9"/>
        <v>0.25</v>
      </c>
      <c r="Q13" s="7">
        <f t="shared" si="7"/>
        <v>2</v>
      </c>
      <c r="V13" s="3">
        <f t="shared" si="8"/>
        <v>5.4285714285714279</v>
      </c>
      <c r="W13" s="3">
        <f t="shared" si="0"/>
        <v>-1.4285714285714279</v>
      </c>
      <c r="X13" s="1"/>
      <c r="Y13" s="5" t="s">
        <v>9</v>
      </c>
      <c r="Z13" s="2">
        <v>1</v>
      </c>
      <c r="AA13" s="3">
        <f>+T7</f>
        <v>-2.7142857142857144</v>
      </c>
      <c r="AB13" s="3">
        <f>+Z8</f>
        <v>0.62813837896537705</v>
      </c>
      <c r="AC13" s="3">
        <f>+(AA13-0)/AB13</f>
        <v>-4.3211588483997501</v>
      </c>
      <c r="AD13" s="6">
        <f>1-_xlfn.T.DIST(ABS(AC13),Z14,TRUE)</f>
        <v>4.9703963655234329E-4</v>
      </c>
    </row>
    <row r="14" spans="2:30" x14ac:dyDescent="0.3">
      <c r="B14" s="14" t="s">
        <v>42</v>
      </c>
      <c r="C14" s="13">
        <v>6</v>
      </c>
      <c r="E14" s="32"/>
      <c r="F14" s="32"/>
      <c r="H14" s="13">
        <f t="shared" si="1"/>
        <v>0</v>
      </c>
      <c r="I14" s="13">
        <f t="shared" si="2"/>
        <v>1</v>
      </c>
      <c r="J14" s="13">
        <f t="shared" si="3"/>
        <v>6</v>
      </c>
      <c r="M14" s="13">
        <f t="shared" si="4"/>
        <v>1</v>
      </c>
      <c r="N14" s="13">
        <f t="shared" si="5"/>
        <v>6</v>
      </c>
      <c r="O14" s="3">
        <f t="shared" si="6"/>
        <v>0.5</v>
      </c>
      <c r="P14" s="7">
        <f t="shared" si="9"/>
        <v>0.25</v>
      </c>
      <c r="Q14" s="7">
        <f t="shared" si="7"/>
        <v>3</v>
      </c>
      <c r="V14" s="3">
        <f t="shared" si="8"/>
        <v>5.4285714285714279</v>
      </c>
      <c r="W14" s="3">
        <f t="shared" si="0"/>
        <v>0.57142857142857206</v>
      </c>
      <c r="X14" s="1"/>
      <c r="Y14" s="5" t="s">
        <v>26</v>
      </c>
      <c r="Z14" s="2">
        <v>12</v>
      </c>
      <c r="AA14" s="2"/>
      <c r="AB14" s="2"/>
      <c r="AC14" s="2"/>
      <c r="AD14" s="2"/>
    </row>
    <row r="15" spans="2:30" x14ac:dyDescent="0.3">
      <c r="B15" s="14" t="s">
        <v>42</v>
      </c>
      <c r="C15" s="13">
        <v>5</v>
      </c>
      <c r="E15" s="32"/>
      <c r="F15" s="32"/>
      <c r="H15" s="13">
        <f t="shared" si="1"/>
        <v>0</v>
      </c>
      <c r="I15" s="13">
        <f t="shared" si="2"/>
        <v>1</v>
      </c>
      <c r="J15" s="13">
        <f t="shared" si="3"/>
        <v>5</v>
      </c>
      <c r="M15" s="13">
        <f t="shared" si="4"/>
        <v>1</v>
      </c>
      <c r="N15" s="13">
        <f t="shared" si="5"/>
        <v>5</v>
      </c>
      <c r="O15" s="3">
        <f t="shared" si="6"/>
        <v>0.5</v>
      </c>
      <c r="P15" s="7">
        <f t="shared" si="9"/>
        <v>0.25</v>
      </c>
      <c r="Q15" s="7">
        <f t="shared" si="7"/>
        <v>2.5</v>
      </c>
      <c r="V15" s="3">
        <f t="shared" si="8"/>
        <v>5.4285714285714279</v>
      </c>
      <c r="W15" s="3">
        <f t="shared" si="0"/>
        <v>-0.42857142857142794</v>
      </c>
      <c r="X15" s="1"/>
      <c r="Y15" s="1"/>
      <c r="Z15" s="1"/>
      <c r="AA15" s="1"/>
      <c r="AB15" s="1"/>
      <c r="AC15" s="1"/>
      <c r="AD15" s="1"/>
    </row>
    <row r="16" spans="2:30" x14ac:dyDescent="0.3">
      <c r="B16" s="14" t="s">
        <v>42</v>
      </c>
      <c r="C16" s="13">
        <v>7</v>
      </c>
      <c r="E16" s="32"/>
      <c r="F16" s="32"/>
      <c r="H16" s="13">
        <f t="shared" si="1"/>
        <v>0</v>
      </c>
      <c r="I16" s="13">
        <f t="shared" si="2"/>
        <v>1</v>
      </c>
      <c r="J16" s="13">
        <f t="shared" si="3"/>
        <v>7</v>
      </c>
      <c r="M16" s="13">
        <f t="shared" si="4"/>
        <v>1</v>
      </c>
      <c r="N16" s="13">
        <f t="shared" si="5"/>
        <v>7</v>
      </c>
      <c r="O16" s="3">
        <f t="shared" si="6"/>
        <v>0.5</v>
      </c>
      <c r="P16" s="7">
        <f t="shared" si="9"/>
        <v>0.25</v>
      </c>
      <c r="Q16" s="7">
        <f t="shared" si="7"/>
        <v>3.5</v>
      </c>
      <c r="V16" s="3">
        <f t="shared" si="8"/>
        <v>5.4285714285714279</v>
      </c>
      <c r="W16" s="3">
        <f t="shared" si="0"/>
        <v>1.5714285714285721</v>
      </c>
      <c r="X16" s="1"/>
      <c r="Y16" s="5" t="s">
        <v>29</v>
      </c>
      <c r="Z16" s="5" t="s">
        <v>27</v>
      </c>
      <c r="AA16" s="5" t="s">
        <v>28</v>
      </c>
      <c r="AB16" s="1"/>
      <c r="AC16" s="1"/>
      <c r="AD16" s="1"/>
    </row>
    <row r="17" spans="2:30" x14ac:dyDescent="0.3">
      <c r="B17" s="15"/>
      <c r="V17" s="5" t="s">
        <v>14</v>
      </c>
      <c r="W17" s="10">
        <f>+SUM(W3:W16)</f>
        <v>7.9936057773011271E-15</v>
      </c>
      <c r="X17" s="1"/>
      <c r="Y17" s="5" t="s">
        <v>10</v>
      </c>
      <c r="Z17" s="3">
        <f>+AA12-AB12*_xlfn.T.INV.2T(0.05,18)</f>
        <v>7.2825377124533519</v>
      </c>
      <c r="AA17" s="3">
        <f>+AA12+AB12*_xlfn.T.INV.2T(0.05,18)</f>
        <v>9.0031765732609319</v>
      </c>
      <c r="AB17" s="1"/>
      <c r="AC17" s="1"/>
      <c r="AD17" s="1"/>
    </row>
    <row r="18" spans="2:30" x14ac:dyDescent="0.3">
      <c r="V18" s="1"/>
      <c r="W18" s="1"/>
      <c r="X18" s="1"/>
      <c r="Y18" s="5" t="s">
        <v>9</v>
      </c>
      <c r="Z18" s="3">
        <f>+AA13-AB13*_xlfn.T.INV.2T(0.05,18)</f>
        <v>-4.0339554789753524</v>
      </c>
      <c r="AA18" s="3">
        <f>+AA13+AB13*_xlfn.T.INV.2T(0.05,18)</f>
        <v>-1.3946159495960764</v>
      </c>
      <c r="AB18" s="1"/>
      <c r="AC18" s="1"/>
      <c r="AD18" s="1"/>
    </row>
    <row r="19" spans="2:30" x14ac:dyDescent="0.3">
      <c r="V19" s="1"/>
      <c r="W19" s="1"/>
      <c r="X19" s="1"/>
      <c r="Y19" s="1"/>
      <c r="Z19" s="1"/>
      <c r="AA19" s="1"/>
      <c r="AB19" s="1"/>
      <c r="AC19" s="1"/>
      <c r="AD19" s="1"/>
    </row>
    <row r="20" spans="2:30" x14ac:dyDescent="0.3">
      <c r="V20" s="1"/>
      <c r="W20" s="1"/>
      <c r="X20" s="1"/>
      <c r="Y20" s="31" t="s">
        <v>39</v>
      </c>
      <c r="Z20" s="31"/>
      <c r="AA20" s="31"/>
      <c r="AB20" s="31"/>
      <c r="AC20" s="31"/>
      <c r="AD20" s="31"/>
    </row>
    <row r="21" spans="2:30" x14ac:dyDescent="0.3">
      <c r="V21" s="1"/>
      <c r="W21" s="1"/>
      <c r="X21" s="1"/>
      <c r="Y21" s="5" t="s">
        <v>21</v>
      </c>
      <c r="Z21" s="5" t="s">
        <v>30</v>
      </c>
      <c r="AA21" s="5" t="s">
        <v>31</v>
      </c>
      <c r="AB21" s="5" t="s">
        <v>32</v>
      </c>
      <c r="AC21" s="5" t="s">
        <v>33</v>
      </c>
      <c r="AD21" s="5" t="s">
        <v>34</v>
      </c>
    </row>
    <row r="22" spans="2:30" x14ac:dyDescent="0.3">
      <c r="V22" s="1"/>
      <c r="W22" s="1"/>
      <c r="X22" s="1"/>
      <c r="Y22" s="5" t="s">
        <v>35</v>
      </c>
      <c r="Z22" s="2">
        <v>1</v>
      </c>
      <c r="AA22" s="7">
        <f>+T7*T5</f>
        <v>25.785714285714288</v>
      </c>
      <c r="AB22" s="7">
        <f>+AA22/Z22</f>
        <v>25.785714285714288</v>
      </c>
      <c r="AC22" s="7">
        <f>+AB22/AB23</f>
        <v>18.672413793103416</v>
      </c>
      <c r="AD22" s="7">
        <f>1-_xlfn.F.DIST(AC22,Z22,Z24,TRUE)</f>
        <v>8.3010310026554457E-4</v>
      </c>
    </row>
    <row r="23" spans="2:30" x14ac:dyDescent="0.3">
      <c r="X23" s="1"/>
      <c r="Y23" s="5" t="s">
        <v>36</v>
      </c>
      <c r="Z23" s="2">
        <v>12</v>
      </c>
      <c r="AA23" s="7">
        <f>+AA24-AA22</f>
        <v>16.571428571428601</v>
      </c>
      <c r="AB23" s="7">
        <f>+AA23/Z23</f>
        <v>1.3809523809523834</v>
      </c>
      <c r="AC23" s="7"/>
      <c r="AD23" s="7"/>
    </row>
    <row r="24" spans="2:30" x14ac:dyDescent="0.3">
      <c r="X24" s="1"/>
      <c r="Y24" s="5" t="s">
        <v>37</v>
      </c>
      <c r="Z24" s="2">
        <f>+SUM(Z22:Z23)</f>
        <v>13</v>
      </c>
      <c r="AA24" s="7">
        <f>+Z4</f>
        <v>42.35714285714289</v>
      </c>
      <c r="AB24" s="7">
        <f>+AA24/Z24</f>
        <v>3.2582417582417609</v>
      </c>
      <c r="AC24" s="7"/>
      <c r="AD24" s="7"/>
    </row>
    <row r="25" spans="2:30" x14ac:dyDescent="0.3">
      <c r="X25" s="1"/>
      <c r="Y25" s="1"/>
      <c r="Z25" s="1"/>
      <c r="AA25" s="1"/>
      <c r="AB25" s="1"/>
      <c r="AC25" s="1"/>
      <c r="AD25" s="1"/>
    </row>
    <row r="26" spans="2:30" x14ac:dyDescent="0.3">
      <c r="X26" s="1"/>
      <c r="Y26" s="5" t="s">
        <v>38</v>
      </c>
      <c r="Z26" s="11">
        <f>+AA22/AA24</f>
        <v>0.60876897133220875</v>
      </c>
      <c r="AA26" s="1"/>
      <c r="AB26" s="1"/>
      <c r="AC26" s="1"/>
      <c r="AD26" s="1"/>
    </row>
  </sheetData>
  <mergeCells count="3">
    <mergeCell ref="E2:F16"/>
    <mergeCell ref="Y10:AD10"/>
    <mergeCell ref="Y20:AD20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0366C-1A15-4AB6-85F6-3876593DB8A1}">
  <dimension ref="B2:E27"/>
  <sheetViews>
    <sheetView tabSelected="1" workbookViewId="0">
      <selection activeCell="F7" sqref="F7"/>
    </sheetView>
  </sheetViews>
  <sheetFormatPr defaultRowHeight="15.6" x14ac:dyDescent="0.3"/>
  <cols>
    <col min="1" max="1" width="8.88671875" style="12"/>
    <col min="2" max="2" width="13.77734375" style="12" bestFit="1" customWidth="1"/>
    <col min="3" max="3" width="5.88671875" style="12" bestFit="1" customWidth="1"/>
    <col min="4" max="4" width="3.33203125" style="12" bestFit="1" customWidth="1"/>
    <col min="5" max="5" width="5.44140625" style="12" bestFit="1" customWidth="1"/>
    <col min="6" max="16384" width="8.88671875" style="12"/>
  </cols>
  <sheetData>
    <row r="2" spans="2:5" x14ac:dyDescent="0.3">
      <c r="B2" s="14" t="s">
        <v>0</v>
      </c>
      <c r="C2" s="14" t="s">
        <v>66</v>
      </c>
      <c r="D2" s="14" t="s">
        <v>67</v>
      </c>
      <c r="E2" s="14" t="s">
        <v>68</v>
      </c>
    </row>
    <row r="3" spans="2:5" x14ac:dyDescent="0.3">
      <c r="B3" s="13">
        <v>1</v>
      </c>
      <c r="C3" s="16">
        <v>16.68</v>
      </c>
      <c r="D3" s="13">
        <v>7</v>
      </c>
      <c r="E3" s="13">
        <v>560</v>
      </c>
    </row>
    <row r="4" spans="2:5" x14ac:dyDescent="0.3">
      <c r="B4" s="13">
        <v>2</v>
      </c>
      <c r="C4" s="16">
        <v>11.5</v>
      </c>
      <c r="D4" s="13">
        <v>3</v>
      </c>
      <c r="E4" s="13">
        <v>220</v>
      </c>
    </row>
    <row r="5" spans="2:5" x14ac:dyDescent="0.3">
      <c r="B5" s="13">
        <v>3</v>
      </c>
      <c r="C5" s="16">
        <v>12.03</v>
      </c>
      <c r="D5" s="13">
        <v>3</v>
      </c>
      <c r="E5" s="13">
        <v>340</v>
      </c>
    </row>
    <row r="6" spans="2:5" x14ac:dyDescent="0.3">
      <c r="B6" s="13">
        <v>4</v>
      </c>
      <c r="C6" s="16">
        <v>14.88</v>
      </c>
      <c r="D6" s="13">
        <v>4</v>
      </c>
      <c r="E6" s="13">
        <v>80</v>
      </c>
    </row>
    <row r="7" spans="2:5" x14ac:dyDescent="0.3">
      <c r="B7" s="13">
        <v>5</v>
      </c>
      <c r="C7" s="16">
        <v>13.75</v>
      </c>
      <c r="D7" s="13">
        <v>6</v>
      </c>
      <c r="E7" s="13">
        <v>150</v>
      </c>
    </row>
    <row r="8" spans="2:5" x14ac:dyDescent="0.3">
      <c r="B8" s="13">
        <v>6</v>
      </c>
      <c r="C8" s="16">
        <v>18.11</v>
      </c>
      <c r="D8" s="13">
        <v>7</v>
      </c>
      <c r="E8" s="13">
        <v>330</v>
      </c>
    </row>
    <row r="9" spans="2:5" x14ac:dyDescent="0.3">
      <c r="B9" s="13">
        <v>7</v>
      </c>
      <c r="C9" s="16">
        <v>8</v>
      </c>
      <c r="D9" s="13">
        <v>2</v>
      </c>
      <c r="E9" s="13">
        <v>110</v>
      </c>
    </row>
    <row r="10" spans="2:5" x14ac:dyDescent="0.3">
      <c r="B10" s="13">
        <v>8</v>
      </c>
      <c r="C10" s="16">
        <v>17.829999999999998</v>
      </c>
      <c r="D10" s="13">
        <v>7</v>
      </c>
      <c r="E10" s="13">
        <v>210</v>
      </c>
    </row>
    <row r="11" spans="2:5" x14ac:dyDescent="0.3">
      <c r="B11" s="13">
        <v>9</v>
      </c>
      <c r="C11" s="16">
        <v>79.239999999999995</v>
      </c>
      <c r="D11" s="13">
        <v>30</v>
      </c>
      <c r="E11" s="13">
        <v>1460</v>
      </c>
    </row>
    <row r="12" spans="2:5" x14ac:dyDescent="0.3">
      <c r="B12" s="13">
        <v>10</v>
      </c>
      <c r="C12" s="16">
        <v>21.5</v>
      </c>
      <c r="D12" s="13">
        <v>5</v>
      </c>
      <c r="E12" s="13">
        <v>605</v>
      </c>
    </row>
    <row r="13" spans="2:5" x14ac:dyDescent="0.3">
      <c r="B13" s="13">
        <v>11</v>
      </c>
      <c r="C13" s="16">
        <v>40.33</v>
      </c>
      <c r="D13" s="13">
        <v>16</v>
      </c>
      <c r="E13" s="13">
        <v>688</v>
      </c>
    </row>
    <row r="14" spans="2:5" x14ac:dyDescent="0.3">
      <c r="B14" s="13">
        <v>12</v>
      </c>
      <c r="C14" s="16">
        <v>21</v>
      </c>
      <c r="D14" s="13">
        <v>10</v>
      </c>
      <c r="E14" s="13">
        <v>215</v>
      </c>
    </row>
    <row r="15" spans="2:5" x14ac:dyDescent="0.3">
      <c r="B15" s="13">
        <v>13</v>
      </c>
      <c r="C15" s="16">
        <v>13.5</v>
      </c>
      <c r="D15" s="13">
        <v>4</v>
      </c>
      <c r="E15" s="13">
        <v>255</v>
      </c>
    </row>
    <row r="16" spans="2:5" x14ac:dyDescent="0.3">
      <c r="B16" s="13">
        <v>14</v>
      </c>
      <c r="C16" s="16">
        <v>19.75</v>
      </c>
      <c r="D16" s="13">
        <v>6</v>
      </c>
      <c r="E16" s="13">
        <v>462</v>
      </c>
    </row>
    <row r="17" spans="2:5" x14ac:dyDescent="0.3">
      <c r="B17" s="13">
        <v>15</v>
      </c>
      <c r="C17" s="16">
        <v>24</v>
      </c>
      <c r="D17" s="13">
        <v>9</v>
      </c>
      <c r="E17" s="13">
        <v>448</v>
      </c>
    </row>
    <row r="18" spans="2:5" x14ac:dyDescent="0.3">
      <c r="B18" s="13">
        <v>16</v>
      </c>
      <c r="C18" s="16">
        <v>29</v>
      </c>
      <c r="D18" s="13">
        <v>10</v>
      </c>
      <c r="E18" s="13">
        <v>776</v>
      </c>
    </row>
    <row r="19" spans="2:5" x14ac:dyDescent="0.3">
      <c r="B19" s="13">
        <v>17</v>
      </c>
      <c r="C19" s="16">
        <v>15.35</v>
      </c>
      <c r="D19" s="13">
        <v>6</v>
      </c>
      <c r="E19" s="13">
        <v>200</v>
      </c>
    </row>
    <row r="20" spans="2:5" x14ac:dyDescent="0.3">
      <c r="B20" s="13">
        <v>18</v>
      </c>
      <c r="C20" s="16">
        <v>19</v>
      </c>
      <c r="D20" s="13">
        <v>7</v>
      </c>
      <c r="E20" s="13">
        <v>132</v>
      </c>
    </row>
    <row r="21" spans="2:5" x14ac:dyDescent="0.3">
      <c r="B21" s="13">
        <v>19</v>
      </c>
      <c r="C21" s="16">
        <v>9.5</v>
      </c>
      <c r="D21" s="13">
        <v>3</v>
      </c>
      <c r="E21" s="13">
        <v>36</v>
      </c>
    </row>
    <row r="22" spans="2:5" x14ac:dyDescent="0.3">
      <c r="B22" s="13">
        <v>20</v>
      </c>
      <c r="C22" s="16">
        <v>35.1</v>
      </c>
      <c r="D22" s="13">
        <v>17</v>
      </c>
      <c r="E22" s="13">
        <v>770</v>
      </c>
    </row>
    <row r="23" spans="2:5" x14ac:dyDescent="0.3">
      <c r="B23" s="13">
        <v>21</v>
      </c>
      <c r="C23" s="16">
        <v>17.899999999999999</v>
      </c>
      <c r="D23" s="13">
        <v>10</v>
      </c>
      <c r="E23" s="13">
        <v>140</v>
      </c>
    </row>
    <row r="24" spans="2:5" x14ac:dyDescent="0.3">
      <c r="B24" s="13">
        <v>22</v>
      </c>
      <c r="C24" s="16">
        <v>52.32</v>
      </c>
      <c r="D24" s="13">
        <v>26</v>
      </c>
      <c r="E24" s="13">
        <v>810</v>
      </c>
    </row>
    <row r="25" spans="2:5" x14ac:dyDescent="0.3">
      <c r="B25" s="13">
        <v>23</v>
      </c>
      <c r="C25" s="16">
        <v>18.75</v>
      </c>
      <c r="D25" s="13">
        <v>9</v>
      </c>
      <c r="E25" s="13">
        <v>450</v>
      </c>
    </row>
    <row r="26" spans="2:5" x14ac:dyDescent="0.3">
      <c r="B26" s="13">
        <v>24</v>
      </c>
      <c r="C26" s="16">
        <v>19.829999999999998</v>
      </c>
      <c r="D26" s="13">
        <v>8</v>
      </c>
      <c r="E26" s="13">
        <v>635</v>
      </c>
    </row>
    <row r="27" spans="2:5" x14ac:dyDescent="0.3">
      <c r="B27" s="13">
        <v>25</v>
      </c>
      <c r="C27" s="16">
        <v>10.75</v>
      </c>
      <c r="D27" s="13">
        <v>4</v>
      </c>
      <c r="E27" s="13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5EF29-AA47-4480-9052-B1872DB3D306}">
  <dimension ref="B2:D32"/>
  <sheetViews>
    <sheetView topLeftCell="A11" zoomScale="130" zoomScaleNormal="130" workbookViewId="0">
      <selection activeCell="B2" sqref="B2:D32"/>
    </sheetView>
  </sheetViews>
  <sheetFormatPr defaultRowHeight="15.6" x14ac:dyDescent="0.3"/>
  <cols>
    <col min="1" max="1" width="8.88671875" style="12"/>
    <col min="2" max="2" width="11.21875" style="12" bestFit="1" customWidth="1"/>
    <col min="3" max="3" width="8" style="12" bestFit="1" customWidth="1"/>
    <col min="4" max="4" width="12.21875" style="12" bestFit="1" customWidth="1"/>
    <col min="5" max="16384" width="8.88671875" style="12"/>
  </cols>
  <sheetData>
    <row r="2" spans="2:4" x14ac:dyDescent="0.3">
      <c r="B2" s="14" t="s">
        <v>47</v>
      </c>
      <c r="C2" s="14" t="s">
        <v>48</v>
      </c>
      <c r="D2" s="14" t="s">
        <v>49</v>
      </c>
    </row>
    <row r="3" spans="2:4" x14ac:dyDescent="0.3">
      <c r="B3" s="17" t="s">
        <v>50</v>
      </c>
      <c r="C3" s="13">
        <v>8</v>
      </c>
      <c r="D3" s="13">
        <v>15.29</v>
      </c>
    </row>
    <row r="4" spans="2:4" x14ac:dyDescent="0.3">
      <c r="B4" s="17" t="s">
        <v>50</v>
      </c>
      <c r="C4" s="13">
        <v>8</v>
      </c>
      <c r="D4" s="13">
        <v>15.89</v>
      </c>
    </row>
    <row r="5" spans="2:4" x14ac:dyDescent="0.3">
      <c r="B5" s="17" t="s">
        <v>50</v>
      </c>
      <c r="C5" s="13">
        <v>8</v>
      </c>
      <c r="D5" s="13">
        <v>16.02</v>
      </c>
    </row>
    <row r="6" spans="2:4" x14ac:dyDescent="0.3">
      <c r="B6" s="17" t="s">
        <v>50</v>
      </c>
      <c r="C6" s="13">
        <v>8</v>
      </c>
      <c r="D6" s="13">
        <v>16.559999999999999</v>
      </c>
    </row>
    <row r="7" spans="2:4" x14ac:dyDescent="0.3">
      <c r="B7" s="17" t="s">
        <v>50</v>
      </c>
      <c r="C7" s="13">
        <v>8</v>
      </c>
      <c r="D7" s="13">
        <v>15.46</v>
      </c>
    </row>
    <row r="8" spans="2:4" x14ac:dyDescent="0.3">
      <c r="B8" s="17" t="s">
        <v>50</v>
      </c>
      <c r="C8" s="13">
        <v>16</v>
      </c>
      <c r="D8" s="13">
        <v>16.91</v>
      </c>
    </row>
    <row r="9" spans="2:4" x14ac:dyDescent="0.3">
      <c r="B9" s="17" t="s">
        <v>50</v>
      </c>
      <c r="C9" s="13">
        <v>16</v>
      </c>
      <c r="D9" s="13">
        <v>16.989999999999998</v>
      </c>
    </row>
    <row r="10" spans="2:4" x14ac:dyDescent="0.3">
      <c r="B10" s="17" t="s">
        <v>50</v>
      </c>
      <c r="C10" s="13">
        <v>16</v>
      </c>
      <c r="D10" s="13">
        <v>17.27</v>
      </c>
    </row>
    <row r="11" spans="2:4" x14ac:dyDescent="0.3">
      <c r="B11" s="17" t="s">
        <v>50</v>
      </c>
      <c r="C11" s="13">
        <v>16</v>
      </c>
      <c r="D11" s="13">
        <v>16.850000000000001</v>
      </c>
    </row>
    <row r="12" spans="2:4" x14ac:dyDescent="0.3">
      <c r="B12" s="17" t="s">
        <v>50</v>
      </c>
      <c r="C12" s="13">
        <v>16</v>
      </c>
      <c r="D12" s="13">
        <v>16.350000000000001</v>
      </c>
    </row>
    <row r="13" spans="2:4" x14ac:dyDescent="0.3">
      <c r="B13" s="17" t="s">
        <v>50</v>
      </c>
      <c r="C13" s="13">
        <v>24</v>
      </c>
      <c r="D13" s="13">
        <v>17.23</v>
      </c>
    </row>
    <row r="14" spans="2:4" x14ac:dyDescent="0.3">
      <c r="B14" s="17" t="s">
        <v>50</v>
      </c>
      <c r="C14" s="13">
        <v>24</v>
      </c>
      <c r="D14" s="13">
        <v>17.809999999999999</v>
      </c>
    </row>
    <row r="15" spans="2:4" x14ac:dyDescent="0.3">
      <c r="B15" s="17" t="s">
        <v>50</v>
      </c>
      <c r="C15" s="13">
        <v>24</v>
      </c>
      <c r="D15" s="13">
        <v>17.739999999999998</v>
      </c>
    </row>
    <row r="16" spans="2:4" x14ac:dyDescent="0.3">
      <c r="B16" s="17" t="s">
        <v>50</v>
      </c>
      <c r="C16" s="13">
        <v>24</v>
      </c>
      <c r="D16" s="13">
        <v>18.02</v>
      </c>
    </row>
    <row r="17" spans="2:4" x14ac:dyDescent="0.3">
      <c r="B17" s="17" t="s">
        <v>50</v>
      </c>
      <c r="C17" s="13">
        <v>24</v>
      </c>
      <c r="D17" s="13">
        <v>18.37</v>
      </c>
    </row>
    <row r="18" spans="2:4" x14ac:dyDescent="0.3">
      <c r="B18" s="17" t="s">
        <v>51</v>
      </c>
      <c r="C18" s="13">
        <v>8</v>
      </c>
      <c r="D18" s="13">
        <v>12.07</v>
      </c>
    </row>
    <row r="19" spans="2:4" x14ac:dyDescent="0.3">
      <c r="B19" s="13" t="s">
        <v>51</v>
      </c>
      <c r="C19" s="13">
        <v>8</v>
      </c>
      <c r="D19" s="13">
        <v>12.42</v>
      </c>
    </row>
    <row r="20" spans="2:4" x14ac:dyDescent="0.3">
      <c r="B20" s="13" t="s">
        <v>51</v>
      </c>
      <c r="C20" s="13">
        <v>8</v>
      </c>
      <c r="D20" s="13">
        <v>12.73</v>
      </c>
    </row>
    <row r="21" spans="2:4" x14ac:dyDescent="0.3">
      <c r="B21" s="13" t="s">
        <v>51</v>
      </c>
      <c r="C21" s="13">
        <v>8</v>
      </c>
      <c r="D21" s="13">
        <v>13.02</v>
      </c>
    </row>
    <row r="22" spans="2:4" x14ac:dyDescent="0.3">
      <c r="B22" s="13" t="s">
        <v>51</v>
      </c>
      <c r="C22" s="13">
        <v>8</v>
      </c>
      <c r="D22" s="13">
        <v>12.05</v>
      </c>
    </row>
    <row r="23" spans="2:4" x14ac:dyDescent="0.3">
      <c r="B23" s="13" t="s">
        <v>51</v>
      </c>
      <c r="C23" s="13">
        <v>16</v>
      </c>
      <c r="D23" s="13">
        <v>12.92</v>
      </c>
    </row>
    <row r="24" spans="2:4" x14ac:dyDescent="0.3">
      <c r="B24" s="13" t="s">
        <v>51</v>
      </c>
      <c r="C24" s="13">
        <v>16</v>
      </c>
      <c r="D24" s="13">
        <v>13.01</v>
      </c>
    </row>
    <row r="25" spans="2:4" x14ac:dyDescent="0.3">
      <c r="B25" s="13" t="s">
        <v>51</v>
      </c>
      <c r="C25" s="13">
        <v>16</v>
      </c>
      <c r="D25" s="13">
        <v>12.21</v>
      </c>
    </row>
    <row r="26" spans="2:4" x14ac:dyDescent="0.3">
      <c r="B26" s="13" t="s">
        <v>51</v>
      </c>
      <c r="C26" s="13">
        <v>16</v>
      </c>
      <c r="D26" s="13">
        <v>13.49</v>
      </c>
    </row>
    <row r="27" spans="2:4" x14ac:dyDescent="0.3">
      <c r="B27" s="13" t="s">
        <v>51</v>
      </c>
      <c r="C27" s="13">
        <v>16</v>
      </c>
      <c r="D27" s="13">
        <v>14.01</v>
      </c>
    </row>
    <row r="28" spans="2:4" x14ac:dyDescent="0.3">
      <c r="B28" s="13" t="s">
        <v>51</v>
      </c>
      <c r="C28" s="13">
        <v>24</v>
      </c>
      <c r="D28" s="13">
        <v>13.3</v>
      </c>
    </row>
    <row r="29" spans="2:4" x14ac:dyDescent="0.3">
      <c r="B29" s="13" t="s">
        <v>51</v>
      </c>
      <c r="C29" s="13">
        <v>24</v>
      </c>
      <c r="D29" s="13">
        <v>12.82</v>
      </c>
    </row>
    <row r="30" spans="2:4" x14ac:dyDescent="0.3">
      <c r="B30" s="13" t="s">
        <v>51</v>
      </c>
      <c r="C30" s="13">
        <v>24</v>
      </c>
      <c r="D30" s="13">
        <v>12.49</v>
      </c>
    </row>
    <row r="31" spans="2:4" x14ac:dyDescent="0.3">
      <c r="B31" s="13" t="s">
        <v>51</v>
      </c>
      <c r="C31" s="13">
        <v>24</v>
      </c>
      <c r="D31" s="13">
        <v>13.55</v>
      </c>
    </row>
    <row r="32" spans="2:4" x14ac:dyDescent="0.3">
      <c r="B32" s="13" t="s">
        <v>51</v>
      </c>
      <c r="C32" s="13">
        <v>24</v>
      </c>
      <c r="D32" s="13">
        <v>14.53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D2400-CF1B-41F1-A0BB-204BF9B3BE29}">
  <dimension ref="B1:C19"/>
  <sheetViews>
    <sheetView zoomScale="175" zoomScaleNormal="175" workbookViewId="0">
      <selection activeCell="B1" sqref="B1:C19"/>
    </sheetView>
  </sheetViews>
  <sheetFormatPr defaultRowHeight="13.8" x14ac:dyDescent="0.25"/>
  <cols>
    <col min="1" max="1" width="8.88671875" style="1"/>
    <col min="2" max="2" width="5.44140625" style="1" bestFit="1" customWidth="1"/>
    <col min="3" max="3" width="5.21875" style="1" bestFit="1" customWidth="1"/>
    <col min="4" max="16384" width="8.88671875" style="1"/>
  </cols>
  <sheetData>
    <row r="1" spans="2:3" x14ac:dyDescent="0.25">
      <c r="B1" s="2" t="s">
        <v>52</v>
      </c>
      <c r="C1" s="2" t="s">
        <v>53</v>
      </c>
    </row>
    <row r="2" spans="2:3" x14ac:dyDescent="0.25">
      <c r="B2" s="2" t="s">
        <v>41</v>
      </c>
      <c r="C2" s="18">
        <v>24.4</v>
      </c>
    </row>
    <row r="3" spans="2:3" x14ac:dyDescent="0.25">
      <c r="B3" s="2" t="s">
        <v>41</v>
      </c>
      <c r="C3" s="18">
        <v>21.4</v>
      </c>
    </row>
    <row r="4" spans="2:3" x14ac:dyDescent="0.25">
      <c r="B4" s="2" t="s">
        <v>41</v>
      </c>
      <c r="C4" s="18">
        <v>21.6</v>
      </c>
    </row>
    <row r="5" spans="2:3" x14ac:dyDescent="0.25">
      <c r="B5" s="2" t="s">
        <v>41</v>
      </c>
      <c r="C5" s="18">
        <v>23.7</v>
      </c>
    </row>
    <row r="6" spans="2:3" x14ac:dyDescent="0.25">
      <c r="B6" s="2" t="s">
        <v>41</v>
      </c>
      <c r="C6" s="18">
        <v>27.1</v>
      </c>
    </row>
    <row r="7" spans="2:3" x14ac:dyDescent="0.25">
      <c r="B7" s="2" t="s">
        <v>41</v>
      </c>
      <c r="C7" s="18">
        <v>22.4</v>
      </c>
    </row>
    <row r="8" spans="2:3" x14ac:dyDescent="0.25">
      <c r="B8" s="2" t="s">
        <v>42</v>
      </c>
      <c r="C8" s="18">
        <v>25.9</v>
      </c>
    </row>
    <row r="9" spans="2:3" x14ac:dyDescent="0.25">
      <c r="B9" s="2" t="s">
        <v>42</v>
      </c>
      <c r="C9" s="18">
        <v>26.3</v>
      </c>
    </row>
    <row r="10" spans="2:3" x14ac:dyDescent="0.25">
      <c r="B10" s="2" t="s">
        <v>42</v>
      </c>
      <c r="C10" s="18">
        <v>26.9</v>
      </c>
    </row>
    <row r="11" spans="2:3" x14ac:dyDescent="0.25">
      <c r="B11" s="2" t="s">
        <v>42</v>
      </c>
      <c r="C11" s="18">
        <v>26.7</v>
      </c>
    </row>
    <row r="12" spans="2:3" x14ac:dyDescent="0.25">
      <c r="B12" s="2" t="s">
        <v>42</v>
      </c>
      <c r="C12" s="18">
        <v>23.4</v>
      </c>
    </row>
    <row r="13" spans="2:3" x14ac:dyDescent="0.25">
      <c r="B13" s="2" t="s">
        <v>42</v>
      </c>
      <c r="C13" s="18">
        <v>27.7</v>
      </c>
    </row>
    <row r="14" spans="2:3" x14ac:dyDescent="0.25">
      <c r="B14" s="2" t="s">
        <v>54</v>
      </c>
      <c r="C14" s="18">
        <v>26</v>
      </c>
    </row>
    <row r="15" spans="2:3" x14ac:dyDescent="0.25">
      <c r="B15" s="2" t="s">
        <v>54</v>
      </c>
      <c r="C15" s="18">
        <v>27.8</v>
      </c>
    </row>
    <row r="16" spans="2:3" x14ac:dyDescent="0.25">
      <c r="B16" s="2" t="s">
        <v>54</v>
      </c>
      <c r="C16" s="18">
        <v>26.6</v>
      </c>
    </row>
    <row r="17" spans="2:3" x14ac:dyDescent="0.25">
      <c r="B17" s="2" t="s">
        <v>54</v>
      </c>
      <c r="C17" s="18">
        <v>26.6</v>
      </c>
    </row>
    <row r="18" spans="2:3" x14ac:dyDescent="0.25">
      <c r="B18" s="2" t="s">
        <v>54</v>
      </c>
      <c r="C18" s="18">
        <v>28.4</v>
      </c>
    </row>
    <row r="19" spans="2:3" x14ac:dyDescent="0.25">
      <c r="B19" s="2" t="s">
        <v>54</v>
      </c>
      <c r="C19" s="18">
        <v>27.8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Datos - Ejemplo 01</vt:lpstr>
      <vt:lpstr>Ejemplo 01 - Resuelto</vt:lpstr>
      <vt:lpstr>Ejemplo 01 - Resuelto Matricial</vt:lpstr>
      <vt:lpstr>Datos - Ejemplo 02</vt:lpstr>
      <vt:lpstr>Ejemplo 02 - Resuelto</vt:lpstr>
      <vt:lpstr>Datos - Ejemplo 03</vt:lpstr>
      <vt:lpstr>Datos - Ejemplo 04</vt:lpstr>
      <vt:lpstr>Datos - Ejemplo 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IGNACIO GARCIA GOÑI</dc:creator>
  <cp:lastModifiedBy>STEVEN IGNACIO GARCIA GOÑI</cp:lastModifiedBy>
  <dcterms:created xsi:type="dcterms:W3CDTF">2025-09-04T20:30:48Z</dcterms:created>
  <dcterms:modified xsi:type="dcterms:W3CDTF">2026-03-09T01:26:05Z</dcterms:modified>
</cp:coreProperties>
</file>